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evenue-Expense History" sheetId="1" r:id="rId4"/>
  </sheets>
</workbook>
</file>

<file path=xl/comments1.xml><?xml version="1.0" encoding="utf-8"?>
<comments xmlns="http://schemas.openxmlformats.org/spreadsheetml/2006/main">
  <authors>
    <author>Owner</author>
    <author>Finance Manager</author>
  </authors>
  <commentList>
    <comment ref="G72" authorId="0">
      <text>
        <r>
          <rPr>
            <sz val="11"/>
            <color indexed="8"/>
            <rFont val="Helvetica"/>
          </rPr>
          <t>Owner:
Includes $20,250 for new copier</t>
        </r>
      </text>
    </comment>
    <comment ref="Q72" authorId="0">
      <text>
        <r>
          <rPr>
            <sz val="11"/>
            <color indexed="8"/>
            <rFont val="Helvetica"/>
          </rPr>
          <t>Owner:
Includes $20,250 for new copier</t>
        </r>
      </text>
    </comment>
    <comment ref="O116" authorId="1">
      <text>
        <r>
          <rPr>
            <sz val="11"/>
            <color indexed="8"/>
            <rFont val="Helvetica"/>
          </rPr>
          <t>Finance Manager:
included 1.3203 background check for Mary Kallin</t>
        </r>
      </text>
    </comment>
  </commentList>
</comments>
</file>

<file path=xl/sharedStrings.xml><?xml version="1.0" encoding="utf-8"?>
<sst xmlns="http://schemas.openxmlformats.org/spreadsheetml/2006/main" uniqueCount="248">
  <si>
    <t>Budget Variables / Assumptions:</t>
  </si>
  <si>
    <t>New priest start:</t>
  </si>
  <si>
    <t>Months</t>
  </si>
  <si>
    <t>Wage Increase:</t>
  </si>
  <si>
    <t>Months Completed:</t>
  </si>
  <si>
    <t>Trinity Episcopal Actual Results and Budget</t>
  </si>
  <si>
    <t>Trinity Episcopal Proposed 2017 Budget</t>
  </si>
  <si>
    <t>2009 Actual</t>
  </si>
  <si>
    <t>2010 Actual</t>
  </si>
  <si>
    <t>2011 Actual</t>
  </si>
  <si>
    <t>2012 Actual</t>
  </si>
  <si>
    <t>2008 Actual</t>
  </si>
  <si>
    <t>2007 Actual</t>
  </si>
  <si>
    <t>2006 Actual</t>
  </si>
  <si>
    <t>2005 Actual</t>
  </si>
  <si>
    <t>2013 Actual</t>
  </si>
  <si>
    <t>2014  Actual</t>
  </si>
  <si>
    <t>2015  Actual</t>
  </si>
  <si>
    <t>Comments / Notes</t>
  </si>
  <si>
    <t>Restated 2008 Actual</t>
  </si>
  <si>
    <t>Percent Change</t>
  </si>
  <si>
    <t>2011  Budget</t>
  </si>
  <si>
    <t xml:space="preserve">2010 Budget </t>
  </si>
  <si>
    <t>2016 Budget</t>
  </si>
  <si>
    <t>2016 YTD Actual</t>
  </si>
  <si>
    <t>2017 Budget</t>
  </si>
  <si>
    <t>Percentage Change</t>
  </si>
  <si>
    <t>Notes listed on bottom of report</t>
  </si>
  <si>
    <t>Revenues</t>
  </si>
  <si>
    <t>.</t>
  </si>
  <si>
    <t>Operating Income</t>
  </si>
  <si>
    <t>1.2751</t>
  </si>
  <si>
    <t>Plate Offerings</t>
  </si>
  <si>
    <t>1.2752</t>
  </si>
  <si>
    <t>General Contributions</t>
  </si>
  <si>
    <t>1.2755</t>
  </si>
  <si>
    <t>Pledge Offerings</t>
  </si>
  <si>
    <t>1.2756</t>
  </si>
  <si>
    <t>Other Operating Income</t>
  </si>
  <si>
    <t>1.2757</t>
  </si>
  <si>
    <t>Altar Flowers &amp; Decoration Income</t>
  </si>
  <si>
    <t>1.2760</t>
  </si>
  <si>
    <t>Prepaid Pledges</t>
  </si>
  <si>
    <t>Research variance</t>
  </si>
  <si>
    <t>Total Operating Income</t>
  </si>
  <si>
    <t>Other Income</t>
  </si>
  <si>
    <t>1.2754</t>
  </si>
  <si>
    <t>General Endowment Proceeds</t>
  </si>
  <si>
    <t>1.2759</t>
  </si>
  <si>
    <t>Endowments for Special Projects</t>
  </si>
  <si>
    <t>1.2765</t>
  </si>
  <si>
    <t>Koehn Bequest Endow. Proceeds</t>
  </si>
  <si>
    <t>1.2801</t>
  </si>
  <si>
    <t>Endowment Funds for Deficit</t>
  </si>
  <si>
    <t>Plug Figure to Balance Budget</t>
  </si>
  <si>
    <t>Total Other Income</t>
  </si>
  <si>
    <t>Total Revenue</t>
  </si>
  <si>
    <t>Expenses</t>
  </si>
  <si>
    <t>Support</t>
  </si>
  <si>
    <t>1.3001</t>
  </si>
  <si>
    <t>Diocesan Pledge</t>
  </si>
  <si>
    <t>1.3011</t>
  </si>
  <si>
    <t>Seminary Support</t>
  </si>
  <si>
    <t>1.3021</t>
  </si>
  <si>
    <t>Other Purposes-Outside Parish</t>
  </si>
  <si>
    <t>Total Diocesan Support</t>
  </si>
  <si>
    <t>Staff</t>
  </si>
  <si>
    <t xml:space="preserve">Compensation </t>
  </si>
  <si>
    <t>1.3135</t>
  </si>
  <si>
    <t>Rector's Stipend</t>
  </si>
  <si>
    <t>1.3102</t>
  </si>
  <si>
    <t>Rectory Allowance (Housing)</t>
  </si>
  <si>
    <t>new 10/13 = $1,250x12=$15,000</t>
  </si>
  <si>
    <t>1.3103</t>
  </si>
  <si>
    <t>Rector's Health Care Stipend</t>
  </si>
  <si>
    <t>1.3108</t>
  </si>
  <si>
    <t>Supply Priest</t>
  </si>
  <si>
    <t>26 supply weeks + 3 wks vacation</t>
  </si>
  <si>
    <t>1.3111</t>
  </si>
  <si>
    <t>Custodian Wages</t>
  </si>
  <si>
    <t>15 hours/week @ $12.50/hr</t>
  </si>
  <si>
    <t>1.3115</t>
  </si>
  <si>
    <t>Music Director</t>
  </si>
  <si>
    <t>1.3125</t>
  </si>
  <si>
    <t>Supply Organist Wages</t>
  </si>
  <si>
    <t>Wages with Increase:</t>
  </si>
  <si>
    <t>1.3131</t>
  </si>
  <si>
    <t>Office Manager Wages</t>
  </si>
  <si>
    <t>1.3141</t>
  </si>
  <si>
    <t>Education Coordinator</t>
  </si>
  <si>
    <t>N/A</t>
  </si>
  <si>
    <t>1.3145</t>
  </si>
  <si>
    <t>Nursery Attendants Pay</t>
  </si>
  <si>
    <t>Difference:</t>
  </si>
  <si>
    <t>1.3151</t>
  </si>
  <si>
    <t>Youth Director Wages</t>
  </si>
  <si>
    <t>1.3110</t>
  </si>
  <si>
    <t>Accounts Payable Services</t>
  </si>
  <si>
    <t>Total Current Wages:</t>
  </si>
  <si>
    <t xml:space="preserve">Total Compensation </t>
  </si>
  <si>
    <t>Benefits</t>
  </si>
  <si>
    <t>1.3161</t>
  </si>
  <si>
    <t>Social Security-Staff</t>
  </si>
  <si>
    <t>1.3162</t>
  </si>
  <si>
    <t>Medicare-Staff</t>
  </si>
  <si>
    <t>1.3163</t>
  </si>
  <si>
    <t>SS &amp; Medicare Allowance Rector</t>
  </si>
  <si>
    <t>1.3171</t>
  </si>
  <si>
    <t>Pension Premiums-Clergy (18%)</t>
  </si>
  <si>
    <t>1.3173</t>
  </si>
  <si>
    <t>Pension Premiums-Lay (9%)</t>
  </si>
  <si>
    <t>1.3175</t>
  </si>
  <si>
    <t>Health Insurance-Clergy</t>
  </si>
  <si>
    <t>Emp+1, 2013 rate (no increase)</t>
  </si>
  <si>
    <t>1.3176</t>
  </si>
  <si>
    <t>Health Insurance-Staff</t>
  </si>
  <si>
    <t>Single plan (no increase)</t>
  </si>
  <si>
    <t>1.3184</t>
  </si>
  <si>
    <t>Continuing Education-Rector &amp; Deacons</t>
  </si>
  <si>
    <t>1.3185</t>
  </si>
  <si>
    <t>Continuing Education-Staff</t>
  </si>
  <si>
    <t>1.3190</t>
  </si>
  <si>
    <t>Workman's Compensation</t>
  </si>
  <si>
    <t>Based on actual</t>
  </si>
  <si>
    <t xml:space="preserve">17 Paid Dec 2016 </t>
  </si>
  <si>
    <t>1.3195</t>
  </si>
  <si>
    <t>Rector Search</t>
  </si>
  <si>
    <t>1.3196</t>
  </si>
  <si>
    <t>Rector Relocation</t>
  </si>
  <si>
    <t>-</t>
  </si>
  <si>
    <t>Added to budget</t>
  </si>
  <si>
    <t>1.3197</t>
  </si>
  <si>
    <t>Rector Phone</t>
  </si>
  <si>
    <t>Total Personnel</t>
  </si>
  <si>
    <t>Office/Administration</t>
  </si>
  <si>
    <t>1.3201</t>
  </si>
  <si>
    <t>Office Supplies</t>
  </si>
  <si>
    <t>1.3205</t>
  </si>
  <si>
    <t>Communications</t>
  </si>
  <si>
    <t>Eliminated 2 Phone lines</t>
  </si>
  <si>
    <t>1.3211</t>
  </si>
  <si>
    <t>Financial Audit</t>
  </si>
  <si>
    <t>1.3215</t>
  </si>
  <si>
    <t>Bulletins, Paper &amp; Printing</t>
  </si>
  <si>
    <t>Pledge Envelope?</t>
  </si>
  <si>
    <t>1.3221</t>
  </si>
  <si>
    <t>Postage, Permits</t>
  </si>
  <si>
    <t>Per request</t>
  </si>
  <si>
    <t>1.3225</t>
  </si>
  <si>
    <t>Prof. Fees, Dues, Subscriptions</t>
  </si>
  <si>
    <t>1.3226</t>
  </si>
  <si>
    <t>Process Consultant Fee</t>
  </si>
  <si>
    <t>1.3231</t>
  </si>
  <si>
    <t>Bank Charges</t>
  </si>
  <si>
    <t>1.3505</t>
  </si>
  <si>
    <t>Equipment-Maint. Agreements</t>
  </si>
  <si>
    <t>ACS $179.50/m; Copier Maint $7,200</t>
  </si>
  <si>
    <t>Total Office Administration</t>
  </si>
  <si>
    <t>Buildings and Grounds</t>
  </si>
  <si>
    <t>1.3305</t>
  </si>
  <si>
    <t>Utilities</t>
  </si>
  <si>
    <t>Programmable Thermostat</t>
  </si>
  <si>
    <t>1.3310</t>
  </si>
  <si>
    <t>Snow Removal</t>
  </si>
  <si>
    <t>1.3315</t>
  </si>
  <si>
    <t>Waste-Recycling Removal</t>
  </si>
  <si>
    <t>$93.78 / month</t>
  </si>
  <si>
    <t>1.3324</t>
  </si>
  <si>
    <t>Janitorial Supplies</t>
  </si>
  <si>
    <t>1.3330</t>
  </si>
  <si>
    <t>Pest Control</t>
  </si>
  <si>
    <t>$34.00/m  new company +5%</t>
  </si>
  <si>
    <t>1.3340</t>
  </si>
  <si>
    <t>Elevator Maint.-Inspections</t>
  </si>
  <si>
    <t>$152.32 every 2 m + ann. inspec</t>
  </si>
  <si>
    <t>1.3350</t>
  </si>
  <si>
    <t>Insurance-Property</t>
  </si>
  <si>
    <t xml:space="preserve">Actual bill </t>
  </si>
  <si>
    <t>1.3360</t>
  </si>
  <si>
    <t>Building &amp; Grounds Expenses</t>
  </si>
  <si>
    <t>1.3370</t>
  </si>
  <si>
    <t>Special Projects-Endow Support</t>
  </si>
  <si>
    <t>Per Request</t>
  </si>
  <si>
    <t>Special Projects - Endowment Supported</t>
  </si>
  <si>
    <t>Total Building and Grounds</t>
  </si>
  <si>
    <t>Total Operations</t>
  </si>
  <si>
    <t>Worship &amp; Education</t>
  </si>
  <si>
    <t>1.3415</t>
  </si>
  <si>
    <t>Advertising</t>
  </si>
  <si>
    <t>1.3421</t>
  </si>
  <si>
    <t>Sunday School Expenses</t>
  </si>
  <si>
    <t>1.3425</t>
  </si>
  <si>
    <t>Vacation Bible School</t>
  </si>
  <si>
    <t>1.3430</t>
  </si>
  <si>
    <t>Membership Expenses</t>
  </si>
  <si>
    <t>1.3431</t>
  </si>
  <si>
    <t>Awards/Gifts/Entertainment</t>
  </si>
  <si>
    <t>1.3435</t>
  </si>
  <si>
    <t>Parish Education Expenses</t>
  </si>
  <si>
    <t>1.3438</t>
  </si>
  <si>
    <t>Parish Activity Expense (TAP)</t>
  </si>
  <si>
    <t>Actual + Per Request</t>
  </si>
  <si>
    <t>1.3439</t>
  </si>
  <si>
    <t>Pastoral Care</t>
  </si>
  <si>
    <t>1.3440</t>
  </si>
  <si>
    <t>Kitchen Expense</t>
  </si>
  <si>
    <t>1.3602</t>
  </si>
  <si>
    <t>Youth Expenses</t>
  </si>
  <si>
    <t>??</t>
  </si>
  <si>
    <t>1.3605</t>
  </si>
  <si>
    <t>Conference/Council</t>
  </si>
  <si>
    <t>Mthr Meredyth Interim - future $$</t>
  </si>
  <si>
    <t>1.3610</t>
  </si>
  <si>
    <t>Vestry Development</t>
  </si>
  <si>
    <t>1.3608</t>
  </si>
  <si>
    <t>Mileage Reimbursement</t>
  </si>
  <si>
    <t>$.555/mile, 100 rnd trip; 29 wkends</t>
  </si>
  <si>
    <t>1.3621</t>
  </si>
  <si>
    <t>Stewardship Program Expenses</t>
  </si>
  <si>
    <t>1.3631</t>
  </si>
  <si>
    <t>Contingency/Misc</t>
  </si>
  <si>
    <t>1.3401</t>
  </si>
  <si>
    <t>Altar Expense</t>
  </si>
  <si>
    <t>1.3405</t>
  </si>
  <si>
    <t>Altar Flowers</t>
  </si>
  <si>
    <t>1.3408</t>
  </si>
  <si>
    <t>Worship Expense</t>
  </si>
  <si>
    <t>1.3411</t>
  </si>
  <si>
    <t>Music, Choir Supplies</t>
  </si>
  <si>
    <t>Includes maint.agr on bells (Verdin)</t>
  </si>
  <si>
    <t>Total Program</t>
  </si>
  <si>
    <t>Total Expenses</t>
  </si>
  <si>
    <t>Net Surplus / (Deficit)</t>
  </si>
  <si>
    <t>NOTE:</t>
  </si>
  <si>
    <t xml:space="preserve">Self-supporting, non-operating, pass through funds - e.g. SCRIP, Loaves &amp; Fishes, SAY, etc… not reflected. </t>
  </si>
  <si>
    <t>Capital Improvement Program  (CIP)</t>
  </si>
  <si>
    <t xml:space="preserve">Special Projects </t>
  </si>
  <si>
    <t xml:space="preserve">Total Capital Improvements </t>
  </si>
  <si>
    <t>1 - Rector declined Church Health Care coverage ~$27,000 in 2015</t>
  </si>
  <si>
    <t>2 - 2*15*52 weeks</t>
  </si>
  <si>
    <t>3 - 2015 did not include Housing and Health Care stipend in assessment</t>
  </si>
  <si>
    <t xml:space="preserve">4 - 1.3103 Rector declined Church Health Care coverage ~$27,000 (family plan) in 2015 </t>
  </si>
  <si>
    <t>5 - based on Nov 2015 invoice amount</t>
  </si>
  <si>
    <t xml:space="preserve">6 - Half of 2014 elevator expenses were classified under buildings and grounds expenses </t>
  </si>
  <si>
    <t>7 - raised deductible in 2015</t>
  </si>
  <si>
    <t>8 - Renewed funding by Script fund - $250 per month - will be applied to General Operations expenses - now shows as "other Income 1.2756" above</t>
  </si>
  <si>
    <t>9 - Travel expenses for attendees of 2015 Convention were not budgeted</t>
  </si>
  <si>
    <t xml:space="preserve">10 - Estimated 2013 amount since fund is used up </t>
  </si>
</sst>
</file>

<file path=xl/styles.xml><?xml version="1.0" encoding="utf-8"?>
<styleSheet xmlns="http://schemas.openxmlformats.org/spreadsheetml/2006/main">
  <numFmts count="10">
    <numFmt numFmtId="0" formatCode="General"/>
    <numFmt numFmtId="59" formatCode="mmm&quot;-&quot;yy"/>
    <numFmt numFmtId="60" formatCode="&quot; &quot;&quot;$&quot;* #,##0.00&quot; &quot;;&quot; &quot;&quot;$&quot;* (#,##0.00);&quot; &quot;&quot;$&quot;* &quot;-&quot;??&quot; &quot;"/>
    <numFmt numFmtId="61" formatCode="mm/dd/yy"/>
    <numFmt numFmtId="62" formatCode="#,##0&quot; &quot;;(#,##0)"/>
    <numFmt numFmtId="63" formatCode="&quot; &quot;* #,##0&quot; &quot;;&quot; &quot;* (#,##0);&quot; &quot;* &quot;-&quot;??&quot; &quot;"/>
    <numFmt numFmtId="64" formatCode="&quot; &quot;* #,##0.0000&quot; &quot;;&quot; &quot;* (#,##0.0000);&quot; &quot;* &quot;-&quot;??&quot; &quot;"/>
    <numFmt numFmtId="65" formatCode="&quot; &quot;&quot;$&quot;* #,##0&quot; &quot;;&quot; &quot;&quot;$&quot;* (#,##0);&quot; &quot;&quot;$&quot;* &quot;-&quot;??&quot; &quot;"/>
    <numFmt numFmtId="66" formatCode="0.0%"/>
    <numFmt numFmtId="67" formatCode="&quot; &quot;* #,##0.00&quot; &quot;;&quot; &quot;* (#,##0.00);&quot; &quot;* &quot;-&quot;??&quot; &quot;"/>
  </numFmts>
  <fonts count="29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b val="1"/>
      <sz val="12"/>
      <color indexed="8"/>
      <name val="Calibri"/>
    </font>
    <font>
      <sz val="12"/>
      <color indexed="8"/>
      <name val="Calibri"/>
    </font>
    <font>
      <sz val="10"/>
      <color indexed="8"/>
      <name val="Calibri"/>
    </font>
    <font>
      <b val="1"/>
      <sz val="11"/>
      <color indexed="10"/>
      <name val="Calibri"/>
    </font>
    <font>
      <b val="1"/>
      <sz val="9"/>
      <color indexed="8"/>
      <name val="Calibri"/>
    </font>
    <font>
      <sz val="10"/>
      <color indexed="10"/>
      <name val="Arial"/>
    </font>
    <font>
      <b val="1"/>
      <sz val="11"/>
      <color indexed="14"/>
      <name val="Calibri"/>
    </font>
    <font>
      <b val="1"/>
      <sz val="10"/>
      <color indexed="10"/>
      <name val="Calibri"/>
    </font>
    <font>
      <b val="1"/>
      <sz val="10"/>
      <color indexed="8"/>
      <name val="Calibri"/>
    </font>
    <font>
      <b val="1"/>
      <sz val="11"/>
      <color indexed="8"/>
      <name val="Calibri"/>
    </font>
    <font>
      <b val="1"/>
      <sz val="16"/>
      <color indexed="8"/>
      <name val="Calibri"/>
    </font>
    <font>
      <b val="1"/>
      <sz val="14"/>
      <color indexed="8"/>
      <name val="Calibri"/>
    </font>
    <font>
      <sz val="11"/>
      <color indexed="8"/>
      <name val="Calibri"/>
    </font>
    <font>
      <sz val="9"/>
      <color indexed="8"/>
      <name val="Calibri"/>
    </font>
    <font>
      <sz val="11"/>
      <color indexed="18"/>
      <name val="Calibri"/>
    </font>
    <font>
      <sz val="9"/>
      <color indexed="10"/>
      <name val="Calibri"/>
    </font>
    <font>
      <b val="1"/>
      <i val="1"/>
      <sz val="12"/>
      <color indexed="8"/>
      <name val="Calibri"/>
    </font>
    <font>
      <b val="1"/>
      <i val="1"/>
      <sz val="10"/>
      <color indexed="8"/>
      <name val="Calibri"/>
    </font>
    <font>
      <i val="1"/>
      <sz val="10"/>
      <color indexed="8"/>
      <name val="Calibri"/>
    </font>
    <font>
      <b val="1"/>
      <i val="1"/>
      <sz val="11"/>
      <color indexed="8"/>
      <name val="Calibri"/>
    </font>
    <font>
      <sz val="11"/>
      <color indexed="8"/>
      <name val="Helvetica"/>
    </font>
    <font>
      <sz val="11"/>
      <color indexed="20"/>
      <name val="Calibri"/>
    </font>
    <font>
      <sz val="10"/>
      <color indexed="18"/>
      <name val="Calibri"/>
    </font>
    <font>
      <sz val="9"/>
      <color indexed="20"/>
      <name val="Calibri"/>
    </font>
    <font>
      <b val="1"/>
      <i val="1"/>
      <sz val="9"/>
      <color indexed="8"/>
      <name val="Calibri"/>
    </font>
    <font>
      <i val="1"/>
      <sz val="9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</fills>
  <borders count="56">
    <border>
      <left/>
      <right/>
      <top/>
      <bottom/>
      <diagonal/>
    </border>
    <border>
      <left style="mediumDashed">
        <color indexed="8"/>
      </left>
      <right/>
      <top style="mediumDashed">
        <color indexed="8"/>
      </top>
      <bottom/>
      <diagonal/>
    </border>
    <border>
      <left/>
      <right/>
      <top style="mediumDashed">
        <color indexed="8"/>
      </top>
      <bottom/>
      <diagonal/>
    </border>
    <border>
      <left/>
      <right style="thin">
        <color indexed="13"/>
      </right>
      <top style="mediumDashed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Dashed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mediumDashed">
        <color indexed="8"/>
      </right>
      <top style="mediumDashed">
        <color indexed="8"/>
      </top>
      <bottom style="thin">
        <color indexed="13"/>
      </bottom>
      <diagonal/>
    </border>
    <border>
      <left style="mediumDashed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Dashed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mediumDashed">
        <color indexed="8"/>
      </right>
      <top style="thin">
        <color indexed="13"/>
      </top>
      <bottom style="thin">
        <color indexed="13"/>
      </bottom>
      <diagonal/>
    </border>
    <border>
      <left style="mediumDashed">
        <color indexed="8"/>
      </left>
      <right/>
      <top/>
      <bottom style="mediumDashed">
        <color indexed="8"/>
      </bottom>
      <diagonal/>
    </border>
    <border>
      <left/>
      <right/>
      <top/>
      <bottom style="mediumDashed">
        <color indexed="8"/>
      </bottom>
      <diagonal/>
    </border>
    <border>
      <left/>
      <right style="thin">
        <color indexed="13"/>
      </right>
      <top style="thin">
        <color indexed="13"/>
      </top>
      <bottom style="mediumDashed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Dashed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Dashed">
        <color indexed="8"/>
      </right>
      <top style="thin">
        <color indexed="13"/>
      </top>
      <bottom style="mediumDashed">
        <color indexed="8"/>
      </bottom>
      <diagonal/>
    </border>
    <border>
      <left style="thin">
        <color indexed="13"/>
      </left>
      <right/>
      <top style="mediumDashed">
        <color indexed="8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/>
      <top style="thin">
        <color indexed="13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/>
      <top style="thin">
        <color indexed="8"/>
      </top>
      <bottom style="thin">
        <color indexed="13"/>
      </bottom>
      <diagonal/>
    </border>
    <border>
      <left/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/>
      <top style="thin">
        <color indexed="8"/>
      </top>
      <bottom/>
      <diagonal/>
    </border>
    <border>
      <left/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/>
      <right style="thin">
        <color indexed="13"/>
      </right>
      <top/>
      <bottom/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/>
      <top/>
      <bottom style="thin">
        <color indexed="8"/>
      </bottom>
      <diagonal/>
    </border>
    <border>
      <left/>
      <right/>
      <top/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2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4" fillId="2" borderId="2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 wrapText="1"/>
    </xf>
    <xf numFmtId="59" fontId="5" fillId="2" borderId="2" applyNumberFormat="1" applyFont="1" applyFill="1" applyBorder="1" applyAlignment="1" applyProtection="0">
      <alignment vertical="bottom"/>
    </xf>
    <xf numFmtId="0" fontId="5" fillId="2" borderId="2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0" fontId="6" fillId="3" borderId="2" applyNumberFormat="1" applyFont="1" applyFill="1" applyBorder="1" applyAlignment="1" applyProtection="0">
      <alignment vertical="bottom"/>
    </xf>
    <xf numFmtId="0" fontId="6" fillId="4" borderId="3" applyNumberFormat="1" applyFont="1" applyFill="1" applyBorder="1" applyAlignment="1" applyProtection="0">
      <alignment vertical="bottom"/>
    </xf>
    <xf numFmtId="0" fontId="6" fillId="4" borderId="4" applyNumberFormat="1" applyFont="1" applyFill="1" applyBorder="1" applyAlignment="1" applyProtection="0">
      <alignment vertical="bottom"/>
    </xf>
    <xf numFmtId="9" fontId="6" fillId="4" borderId="5" applyNumberFormat="1" applyFont="1" applyFill="1" applyBorder="1" applyAlignment="1" applyProtection="0">
      <alignment vertical="bottom" wrapText="1"/>
    </xf>
    <xf numFmtId="60" fontId="7" fillId="4" borderId="5" applyNumberFormat="1" applyFont="1" applyFill="1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vertical="bottom"/>
    </xf>
    <xf numFmtId="0" fontId="8" borderId="6" applyNumberFormat="1" applyFont="1" applyFill="0" applyBorder="1" applyAlignment="1" applyProtection="0">
      <alignment vertical="bottom"/>
    </xf>
    <xf numFmtId="0" fontId="9" fillId="4" borderId="5" applyNumberFormat="1" applyFont="1" applyFill="1" applyBorder="1" applyAlignment="1" applyProtection="0">
      <alignment vertical="bottom"/>
    </xf>
    <xf numFmtId="9" fontId="6" fillId="4" borderId="7" applyNumberFormat="1" applyFont="1" applyFill="1" applyBorder="1" applyAlignment="1" applyProtection="0">
      <alignment vertical="bottom" wrapText="1"/>
    </xf>
    <xf numFmtId="9" fontId="6" fillId="4" borderId="8" applyNumberFormat="1" applyFont="1" applyFill="1" applyBorder="1" applyAlignment="1" applyProtection="0">
      <alignment vertical="bottom" wrapText="1"/>
    </xf>
    <xf numFmtId="0" fontId="0" fillId="2" borderId="9" applyNumberFormat="1" applyFont="1" applyFill="1" applyBorder="1" applyAlignment="1" applyProtection="0">
      <alignment vertical="bottom"/>
    </xf>
    <xf numFmtId="49" fontId="10" fillId="2" borderId="10" applyNumberFormat="1" applyFont="1" applyFill="1" applyBorder="1" applyAlignment="1" applyProtection="0">
      <alignment horizontal="right" vertical="bottom"/>
    </xf>
    <xf numFmtId="0" fontId="5" fillId="2" borderId="10" applyNumberFormat="1" applyFont="1" applyFill="1" applyBorder="1" applyAlignment="1" applyProtection="0">
      <alignment vertical="bottom" wrapText="1"/>
    </xf>
    <xf numFmtId="61" fontId="10" fillId="2" borderId="10" applyNumberFormat="1" applyFont="1" applyFill="1" applyBorder="1" applyAlignment="1" applyProtection="0">
      <alignment vertical="bottom"/>
    </xf>
    <xf numFmtId="62" fontId="10" fillId="2" borderId="10" applyNumberFormat="1" applyFont="1" applyFill="1" applyBorder="1" applyAlignment="1" applyProtection="0">
      <alignment horizontal="center" vertical="bottom"/>
    </xf>
    <xf numFmtId="49" fontId="11" fillId="2" borderId="10" applyNumberFormat="1" applyFont="1" applyFill="1" applyBorder="1" applyAlignment="1" applyProtection="0">
      <alignment vertical="bottom"/>
    </xf>
    <xf numFmtId="0" fontId="12" fillId="2" borderId="10" applyNumberFormat="1" applyFont="1" applyFill="1" applyBorder="1" applyAlignment="1" applyProtection="0">
      <alignment vertical="bottom"/>
    </xf>
    <xf numFmtId="0" fontId="12" fillId="2" borderId="10" applyNumberFormat="1" applyFont="1" applyFill="1" applyBorder="1" applyAlignment="1" applyProtection="0">
      <alignment vertical="bottom" wrapText="1"/>
    </xf>
    <xf numFmtId="0" fontId="11" fillId="3" borderId="10" applyNumberFormat="1" applyFont="1" applyFill="1" applyBorder="1" applyAlignment="1" applyProtection="0">
      <alignment vertical="bottom"/>
    </xf>
    <xf numFmtId="0" fontId="6" fillId="4" borderId="11" applyNumberFormat="1" applyFont="1" applyFill="1" applyBorder="1" applyAlignment="1" applyProtection="0">
      <alignment vertical="bottom"/>
    </xf>
    <xf numFmtId="0" fontId="6" fillId="4" borderId="5" applyNumberFormat="1" applyFont="1" applyFill="1" applyBorder="1" applyAlignment="1" applyProtection="0">
      <alignment vertical="bottom"/>
    </xf>
    <xf numFmtId="63" fontId="10" fillId="4" borderId="5" applyNumberFormat="1" applyFont="1" applyFill="1" applyBorder="1" applyAlignment="1" applyProtection="0">
      <alignment vertical="bottom"/>
    </xf>
    <xf numFmtId="0" fontId="8" borderId="5" applyNumberFormat="1" applyFont="1" applyFill="0" applyBorder="1" applyAlignment="1" applyProtection="0">
      <alignment vertical="bottom"/>
    </xf>
    <xf numFmtId="63" fontId="10" fillId="4" borderId="12" applyNumberFormat="1" applyFont="1" applyFill="1" applyBorder="1" applyAlignment="1" applyProtection="0">
      <alignment vertical="bottom"/>
    </xf>
    <xf numFmtId="63" fontId="10" fillId="4" borderId="8" applyNumberFormat="1" applyFont="1" applyFill="1" applyBorder="1" applyAlignment="1" applyProtection="0">
      <alignment vertical="bottom"/>
    </xf>
    <xf numFmtId="9" fontId="10" fillId="2" borderId="10" applyNumberFormat="1" applyFont="1" applyFill="1" applyBorder="1" applyAlignment="1" applyProtection="0">
      <alignment vertical="bottom" wrapText="1"/>
    </xf>
    <xf numFmtId="0" fontId="5" fillId="2" borderId="10" applyNumberFormat="1" applyFont="1" applyFill="1" applyBorder="1" applyAlignment="1" applyProtection="0">
      <alignment vertical="bottom"/>
    </xf>
    <xf numFmtId="0" fontId="6" fillId="3" borderId="10" applyNumberFormat="1" applyFont="1" applyFill="1" applyBorder="1" applyAlignment="1" applyProtection="0">
      <alignment vertical="bottom"/>
    </xf>
    <xf numFmtId="63" fontId="6" fillId="4" borderId="5" applyNumberFormat="1" applyFont="1" applyFill="1" applyBorder="1" applyAlignment="1" applyProtection="0">
      <alignment vertical="bottom" wrapText="1"/>
    </xf>
    <xf numFmtId="63" fontId="6" fillId="4" borderId="12" applyNumberFormat="1" applyFont="1" applyFill="1" applyBorder="1" applyAlignment="1" applyProtection="0">
      <alignment vertical="bottom" wrapText="1"/>
    </xf>
    <xf numFmtId="63" fontId="6" fillId="4" borderId="8" applyNumberFormat="1" applyFont="1" applyFill="1" applyBorder="1" applyAlignment="1" applyProtection="0">
      <alignment vertical="bottom" wrapText="1"/>
    </xf>
    <xf numFmtId="0" fontId="0" fillId="2" borderId="13" applyNumberFormat="1" applyFont="1" applyFill="1" applyBorder="1" applyAlignment="1" applyProtection="0">
      <alignment vertical="bottom"/>
    </xf>
    <xf numFmtId="0" fontId="0" fillId="2" borderId="14" applyNumberFormat="1" applyFont="1" applyFill="1" applyBorder="1" applyAlignment="1" applyProtection="0">
      <alignment vertical="bottom"/>
    </xf>
    <xf numFmtId="0" fontId="5" fillId="2" borderId="14" applyNumberFormat="1" applyFont="1" applyFill="1" applyBorder="1" applyAlignment="1" applyProtection="0">
      <alignment vertical="bottom" wrapText="1"/>
    </xf>
    <xf numFmtId="49" fontId="10" fillId="2" borderId="14" applyNumberFormat="1" applyFont="1" applyFill="1" applyBorder="1" applyAlignment="1" applyProtection="0">
      <alignment horizontal="right" vertical="bottom"/>
    </xf>
    <xf numFmtId="0" fontId="10" fillId="2" borderId="14" applyNumberFormat="1" applyFont="1" applyFill="1" applyBorder="1" applyAlignment="1" applyProtection="0">
      <alignment horizontal="right" vertical="bottom"/>
    </xf>
    <xf numFmtId="0" fontId="0" fillId="2" borderId="14" applyNumberFormat="1" applyFont="1" applyFill="1" applyBorder="1" applyAlignment="1" applyProtection="0">
      <alignment vertical="bottom" wrapText="1"/>
    </xf>
    <xf numFmtId="0" fontId="5" fillId="3" borderId="14" applyNumberFormat="1" applyFont="1" applyFill="1" applyBorder="1" applyAlignment="1" applyProtection="0">
      <alignment vertical="bottom"/>
    </xf>
    <xf numFmtId="0" fontId="0" fillId="4" borderId="15" applyNumberFormat="1" applyFont="1" applyFill="1" applyBorder="1" applyAlignment="1" applyProtection="0">
      <alignment vertical="bottom"/>
    </xf>
    <xf numFmtId="0" fontId="0" fillId="4" borderId="16" applyNumberFormat="1" applyFont="1" applyFill="1" applyBorder="1" applyAlignment="1" applyProtection="0">
      <alignment vertical="bottom"/>
    </xf>
    <xf numFmtId="0" fontId="5" fillId="4" borderId="5" applyNumberFormat="1" applyFont="1" applyFill="1" applyBorder="1" applyAlignment="1" applyProtection="0">
      <alignment vertical="bottom"/>
    </xf>
    <xf numFmtId="0" fontId="8" borderId="17" applyNumberFormat="1" applyFont="1" applyFill="0" applyBorder="1" applyAlignment="1" applyProtection="0">
      <alignment vertical="bottom"/>
    </xf>
    <xf numFmtId="0" fontId="5" fillId="4" borderId="18" applyNumberFormat="1" applyFont="1" applyFill="1" applyBorder="1" applyAlignment="1" applyProtection="0">
      <alignment vertical="bottom"/>
    </xf>
    <xf numFmtId="0" fontId="5" fillId="4" borderId="8" applyNumberFormat="1" applyFont="1" applyFill="1" applyBorder="1" applyAlignment="1" applyProtection="0">
      <alignment vertical="bottom"/>
    </xf>
    <xf numFmtId="0" fontId="0" fillId="4" borderId="4" applyNumberFormat="0" applyFont="1" applyFill="1" applyBorder="1" applyAlignment="1" applyProtection="0">
      <alignment vertical="bottom"/>
    </xf>
    <xf numFmtId="0" fontId="4" fillId="4" borderId="4" applyNumberFormat="1" applyFont="1" applyFill="1" applyBorder="1" applyAlignment="1" applyProtection="0">
      <alignment vertical="bottom"/>
    </xf>
    <xf numFmtId="0" fontId="0" fillId="4" borderId="4" applyNumberFormat="0" applyFont="1" applyFill="1" applyBorder="1" applyAlignment="1" applyProtection="0">
      <alignment vertical="bottom" wrapText="1"/>
    </xf>
    <xf numFmtId="0" fontId="0" fillId="4" borderId="19" applyNumberFormat="0" applyFont="1" applyFill="1" applyBorder="1" applyAlignment="1" applyProtection="0">
      <alignment vertical="bottom" wrapText="1"/>
    </xf>
    <xf numFmtId="0" fontId="0" fillId="3" borderId="2" applyNumberFormat="1" applyFont="1" applyFill="1" applyBorder="1" applyAlignment="1" applyProtection="0">
      <alignment vertical="bottom"/>
    </xf>
    <xf numFmtId="0" fontId="0" fillId="4" borderId="3" applyNumberFormat="1" applyFont="1" applyFill="1" applyBorder="1" applyAlignment="1" applyProtection="0">
      <alignment vertical="bottom"/>
    </xf>
    <xf numFmtId="0" fontId="0" fillId="4" borderId="4" applyNumberFormat="1" applyFont="1" applyFill="1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vertical="bottom" wrapText="1"/>
    </xf>
    <xf numFmtId="0" fontId="0" borderId="6" applyNumberFormat="0" applyFont="1" applyFill="0" applyBorder="1" applyAlignment="1" applyProtection="0">
      <alignment vertical="bottom"/>
    </xf>
    <xf numFmtId="0" fontId="0" fillId="4" borderId="5" applyNumberFormat="1" applyFont="1" applyFill="1" applyBorder="1" applyAlignment="1" applyProtection="0">
      <alignment vertical="bottom"/>
    </xf>
    <xf numFmtId="0" fontId="4" fillId="4" borderId="5" applyNumberFormat="1" applyFont="1" applyFill="1" applyBorder="1" applyAlignment="1" applyProtection="0">
      <alignment vertical="bottom"/>
    </xf>
    <xf numFmtId="0" fontId="0" fillId="4" borderId="20" applyNumberFormat="0" applyFont="1" applyFill="1" applyBorder="1" applyAlignment="1" applyProtection="0">
      <alignment vertical="bottom" wrapText="1"/>
    </xf>
    <xf numFmtId="0" fontId="0" fillId="3" borderId="10" applyNumberFormat="1" applyFont="1" applyFill="1" applyBorder="1" applyAlignment="1" applyProtection="0">
      <alignment vertical="bottom"/>
    </xf>
    <xf numFmtId="0" fontId="0" fillId="4" borderId="11" applyNumberFormat="1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13" fillId="4" borderId="5" applyNumberFormat="1" applyFont="1" applyFill="1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49" fontId="3" fillId="4" borderId="21" applyNumberFormat="1" applyFont="1" applyFill="1" applyBorder="1" applyAlignment="1" applyProtection="0">
      <alignment horizontal="center" vertical="top" wrapText="1"/>
    </xf>
    <xf numFmtId="0" fontId="3" fillId="4" borderId="21" applyNumberFormat="1" applyFont="1" applyFill="1" applyBorder="1" applyAlignment="1" applyProtection="0">
      <alignment horizontal="center" vertical="top" wrapText="1"/>
    </xf>
    <xf numFmtId="49" fontId="3" fillId="4" borderId="21" applyNumberFormat="1" applyFont="1" applyFill="1" applyBorder="1" applyAlignment="1" applyProtection="0">
      <alignment horizontal="center" vertical="bottom" wrapText="1"/>
    </xf>
    <xf numFmtId="49" fontId="3" fillId="4" borderId="21" applyNumberFormat="1" applyFont="1" applyFill="1" applyBorder="1" applyAlignment="1" applyProtection="0">
      <alignment horizontal="center" vertical="bottom"/>
    </xf>
    <xf numFmtId="49" fontId="3" fillId="4" borderId="22" applyNumberFormat="1" applyFont="1" applyFill="1" applyBorder="1" applyAlignment="1" applyProtection="0">
      <alignment horizontal="center" vertical="bottom" wrapText="1"/>
    </xf>
    <xf numFmtId="0" fontId="3" fillId="3" borderId="10" applyNumberFormat="1" applyFont="1" applyFill="1" applyBorder="1" applyAlignment="1" applyProtection="0">
      <alignment horizontal="center" vertical="bottom" wrapText="1"/>
    </xf>
    <xf numFmtId="49" fontId="12" fillId="4" borderId="21" applyNumberFormat="1" applyFont="1" applyFill="1" applyBorder="1" applyAlignment="1" applyProtection="0">
      <alignment horizontal="center" vertical="bottom" wrapText="1"/>
    </xf>
    <xf numFmtId="49" fontId="3" fillId="4" borderId="23" applyNumberFormat="1" applyFont="1" applyFill="1" applyBorder="1" applyAlignment="1" applyProtection="0">
      <alignment horizontal="center" vertical="bottom"/>
    </xf>
    <xf numFmtId="49" fontId="3" fillId="4" borderId="22" applyNumberFormat="1" applyFont="1" applyFill="1" applyBorder="1" applyAlignment="1" applyProtection="0">
      <alignment horizontal="center" vertical="bottom"/>
    </xf>
    <xf numFmtId="49" fontId="3" fillId="5" borderId="10" applyNumberFormat="1" applyFont="1" applyFill="1" applyBorder="1" applyAlignment="1" applyProtection="0">
      <alignment horizontal="center" vertical="bottom" wrapText="1"/>
    </xf>
    <xf numFmtId="49" fontId="3" fillId="4" borderId="24" applyNumberFormat="1" applyFont="1" applyFill="1" applyBorder="1" applyAlignment="1" applyProtection="0">
      <alignment horizontal="center" vertical="bottom" wrapText="1"/>
    </xf>
    <xf numFmtId="49" fontId="3" fillId="4" borderId="5" applyNumberFormat="1" applyFont="1" applyFill="1" applyBorder="1" applyAlignment="1" applyProtection="0">
      <alignment horizontal="center" vertical="bottom"/>
    </xf>
    <xf numFmtId="49" fontId="14" fillId="6" borderId="25" applyNumberFormat="1" applyFont="1" applyFill="1" applyBorder="1" applyAlignment="1" applyProtection="0">
      <alignment vertical="bottom"/>
    </xf>
    <xf numFmtId="0" fontId="4" fillId="6" borderId="10" applyNumberFormat="1" applyFont="1" applyFill="1" applyBorder="1" applyAlignment="1" applyProtection="0">
      <alignment vertical="bottom"/>
    </xf>
    <xf numFmtId="0" fontId="12" fillId="6" borderId="10" applyNumberFormat="1" applyFont="1" applyFill="1" applyBorder="1" applyAlignment="1" applyProtection="0">
      <alignment vertical="bottom"/>
    </xf>
    <xf numFmtId="64" fontId="12" fillId="6" borderId="10" applyNumberFormat="1" applyFont="1" applyFill="1" applyBorder="1" applyAlignment="1" applyProtection="0">
      <alignment vertical="bottom"/>
    </xf>
    <xf numFmtId="0" fontId="12" fillId="3" borderId="10" applyNumberFormat="1" applyFont="1" applyFill="1" applyBorder="1" applyAlignment="1" applyProtection="0">
      <alignment vertical="bottom"/>
    </xf>
    <xf numFmtId="49" fontId="12" fillId="6" borderId="10" applyNumberFormat="1" applyFont="1" applyFill="1" applyBorder="1" applyAlignment="1" applyProtection="0">
      <alignment vertical="bottom"/>
    </xf>
    <xf numFmtId="0" fontId="0" fillId="7" borderId="26" applyNumberFormat="1" applyFont="1" applyFill="1" applyBorder="1" applyAlignment="1" applyProtection="0">
      <alignment vertical="bottom"/>
    </xf>
    <xf numFmtId="0" fontId="12" fillId="7" borderId="10" applyNumberFormat="1" applyFont="1" applyFill="1" applyBorder="1" applyAlignment="1" applyProtection="0">
      <alignment vertical="bottom"/>
    </xf>
    <xf numFmtId="0" fontId="0" fillId="7" borderId="10" applyNumberFormat="1" applyFont="1" applyFill="1" applyBorder="1" applyAlignment="1" applyProtection="0">
      <alignment vertical="bottom"/>
    </xf>
    <xf numFmtId="0" fontId="0" fillId="4" borderId="11" applyNumberFormat="0" applyFont="1" applyFill="1" applyBorder="1" applyAlignment="1" applyProtection="0">
      <alignment vertical="bottom"/>
    </xf>
    <xf numFmtId="0" fontId="0" fillId="4" borderId="20" applyNumberFormat="0" applyFont="1" applyFill="1" applyBorder="1" applyAlignment="1" applyProtection="0">
      <alignment vertical="bottom"/>
    </xf>
    <xf numFmtId="49" fontId="3" fillId="4" borderId="27" applyNumberFormat="1" applyFont="1" applyFill="1" applyBorder="1" applyAlignment="1" applyProtection="0">
      <alignment horizontal="left" vertical="bottom"/>
    </xf>
    <xf numFmtId="0" fontId="4" fillId="4" borderId="27" applyNumberFormat="1" applyFont="1" applyFill="1" applyBorder="1" applyAlignment="1" applyProtection="0">
      <alignment vertical="bottom"/>
    </xf>
    <xf numFmtId="65" fontId="0" fillId="4" borderId="27" applyNumberFormat="1" applyFont="1" applyFill="1" applyBorder="1" applyAlignment="1" applyProtection="0">
      <alignment vertical="bottom"/>
    </xf>
    <xf numFmtId="63" fontId="0" fillId="4" borderId="27" applyNumberFormat="1" applyFont="1" applyFill="1" applyBorder="1" applyAlignment="1" applyProtection="0">
      <alignment vertical="bottom"/>
    </xf>
    <xf numFmtId="65" fontId="0" fillId="4" borderId="28" applyNumberFormat="1" applyFont="1" applyFill="1" applyBorder="1" applyAlignment="1" applyProtection="0">
      <alignment vertical="bottom"/>
    </xf>
    <xf numFmtId="65" fontId="0" fillId="3" borderId="10" applyNumberFormat="1" applyFont="1" applyFill="1" applyBorder="1" applyAlignment="1" applyProtection="0">
      <alignment vertical="bottom"/>
    </xf>
    <xf numFmtId="0" fontId="0" fillId="4" borderId="27" applyNumberFormat="0" applyFont="1" applyFill="1" applyBorder="1" applyAlignment="1" applyProtection="0">
      <alignment vertical="bottom"/>
    </xf>
    <xf numFmtId="0" fontId="0" fillId="4" borderId="28" applyNumberFormat="0" applyFont="1" applyFill="1" applyBorder="1" applyAlignment="1" applyProtection="0">
      <alignment vertical="bottom"/>
    </xf>
    <xf numFmtId="65" fontId="15" fillId="5" borderId="10" applyNumberFormat="1" applyFont="1" applyFill="1" applyBorder="1" applyAlignment="1" applyProtection="0">
      <alignment vertical="bottom"/>
    </xf>
    <xf numFmtId="65" fontId="0" fillId="4" borderId="29" applyNumberFormat="1" applyFont="1" applyFill="1" applyBorder="1" applyAlignment="1" applyProtection="0">
      <alignment vertical="bottom"/>
    </xf>
    <xf numFmtId="49" fontId="5" fillId="4" borderId="5" applyNumberFormat="1" applyFont="1" applyFill="1" applyBorder="1" applyAlignment="1" applyProtection="0">
      <alignment horizontal="center" vertical="bottom"/>
    </xf>
    <xf numFmtId="49" fontId="4" fillId="4" borderId="5" applyNumberFormat="1" applyFont="1" applyFill="1" applyBorder="1" applyAlignment="1" applyProtection="0">
      <alignment vertical="bottom"/>
    </xf>
    <xf numFmtId="65" fontId="0" fillId="4" borderId="5" applyNumberFormat="1" applyFont="1" applyFill="1" applyBorder="1" applyAlignment="1" applyProtection="0">
      <alignment vertical="bottom"/>
    </xf>
    <xf numFmtId="63" fontId="0" fillId="4" borderId="5" applyNumberFormat="1" applyFont="1" applyFill="1" applyBorder="1" applyAlignment="1" applyProtection="0">
      <alignment vertical="bottom"/>
    </xf>
    <xf numFmtId="65" fontId="0" fillId="4" borderId="20" applyNumberFormat="1" applyFont="1" applyFill="1" applyBorder="1" applyAlignment="1" applyProtection="0">
      <alignment vertical="bottom"/>
    </xf>
    <xf numFmtId="60" fontId="0" fillId="4" borderId="5" applyNumberFormat="1" applyFont="1" applyFill="1" applyBorder="1" applyAlignment="1" applyProtection="0">
      <alignment vertical="bottom"/>
    </xf>
    <xf numFmtId="66" fontId="0" fillId="4" borderId="20" applyNumberFormat="1" applyFont="1" applyFill="1" applyBorder="1" applyAlignment="1" applyProtection="0">
      <alignment vertical="bottom"/>
    </xf>
    <xf numFmtId="65" fontId="0" fillId="4" borderId="11" applyNumberFormat="1" applyFont="1" applyFill="1" applyBorder="1" applyAlignment="1" applyProtection="0">
      <alignment vertical="bottom"/>
    </xf>
    <xf numFmtId="65" fontId="15" fillId="4" borderId="5" applyNumberFormat="1" applyFont="1" applyFill="1" applyBorder="1" applyAlignment="1" applyProtection="0">
      <alignment vertical="bottom" wrapText="1"/>
    </xf>
    <xf numFmtId="63" fontId="15" fillId="4" borderId="5" applyNumberFormat="1" applyFont="1" applyFill="1" applyBorder="1" applyAlignment="1" applyProtection="0">
      <alignment vertical="bottom" wrapText="1"/>
    </xf>
    <xf numFmtId="65" fontId="15" fillId="4" borderId="5" applyNumberFormat="1" applyFont="1" applyFill="1" applyBorder="1" applyAlignment="1" applyProtection="0">
      <alignment vertical="bottom"/>
    </xf>
    <xf numFmtId="65" fontId="15" fillId="3" borderId="30" applyNumberFormat="1" applyFont="1" applyFill="1" applyBorder="1" applyAlignment="1" applyProtection="0">
      <alignment vertical="bottom" wrapText="1"/>
    </xf>
    <xf numFmtId="49" fontId="16" fillId="4" borderId="5" applyNumberFormat="1" applyFont="1" applyFill="1" applyBorder="1" applyAlignment="1" applyProtection="0">
      <alignment vertical="bottom"/>
    </xf>
    <xf numFmtId="60" fontId="15" fillId="4" borderId="5" applyNumberFormat="1" applyFont="1" applyFill="1" applyBorder="1" applyAlignment="1" applyProtection="0">
      <alignment vertical="bottom"/>
    </xf>
    <xf numFmtId="66" fontId="0" fillId="4" borderId="5" applyNumberFormat="1" applyFont="1" applyFill="1" applyBorder="1" applyAlignment="1" applyProtection="0">
      <alignment vertical="bottom"/>
    </xf>
    <xf numFmtId="65" fontId="15" borderId="30" applyNumberFormat="1" applyFont="1" applyFill="0" applyBorder="1" applyAlignment="1" applyProtection="0">
      <alignment vertical="bottom"/>
    </xf>
    <xf numFmtId="65" fontId="17" fillId="4" borderId="5" applyNumberFormat="1" applyFont="1" applyFill="1" applyBorder="1" applyAlignment="1" applyProtection="0">
      <alignment vertical="bottom" wrapText="1"/>
    </xf>
    <xf numFmtId="65" fontId="0" fillId="4" borderId="23" applyNumberFormat="1" applyFont="1" applyFill="1" applyBorder="1" applyAlignment="1" applyProtection="0">
      <alignment vertical="bottom"/>
    </xf>
    <xf numFmtId="63" fontId="0" fillId="4" borderId="23" applyNumberFormat="1" applyFont="1" applyFill="1" applyBorder="1" applyAlignment="1" applyProtection="0">
      <alignment vertical="bottom"/>
    </xf>
    <xf numFmtId="65" fontId="0" fillId="4" borderId="31" applyNumberFormat="1" applyFont="1" applyFill="1" applyBorder="1" applyAlignment="1" applyProtection="0">
      <alignment vertical="bottom"/>
    </xf>
    <xf numFmtId="0" fontId="0" fillId="4" borderId="23" applyNumberFormat="0" applyFont="1" applyFill="1" applyBorder="1" applyAlignment="1" applyProtection="0">
      <alignment vertical="bottom"/>
    </xf>
    <xf numFmtId="65" fontId="15" fillId="5" borderId="32" applyNumberFormat="1" applyFont="1" applyFill="1" applyBorder="1" applyAlignment="1" applyProtection="0">
      <alignment vertical="bottom"/>
    </xf>
    <xf numFmtId="65" fontId="0" fillId="4" borderId="33" applyNumberFormat="1" applyFont="1" applyFill="1" applyBorder="1" applyAlignment="1" applyProtection="0">
      <alignment vertical="bottom"/>
    </xf>
    <xf numFmtId="49" fontId="3" fillId="4" borderId="5" applyNumberFormat="1" applyFont="1" applyFill="1" applyBorder="1" applyAlignment="1" applyProtection="0">
      <alignment vertical="bottom"/>
    </xf>
    <xf numFmtId="65" fontId="12" fillId="4" borderId="34" applyNumberFormat="1" applyFont="1" applyFill="1" applyBorder="1" applyAlignment="1" applyProtection="0">
      <alignment vertical="bottom"/>
    </xf>
    <xf numFmtId="63" fontId="12" fillId="4" borderId="34" applyNumberFormat="1" applyFont="1" applyFill="1" applyBorder="1" applyAlignment="1" applyProtection="0">
      <alignment vertical="bottom"/>
    </xf>
    <xf numFmtId="65" fontId="12" fillId="4" borderId="35" applyNumberFormat="1" applyFont="1" applyFill="1" applyBorder="1" applyAlignment="1" applyProtection="0">
      <alignment vertical="bottom"/>
    </xf>
    <xf numFmtId="65" fontId="12" fillId="3" borderId="10" applyNumberFormat="1" applyFont="1" applyFill="1" applyBorder="1" applyAlignment="1" applyProtection="0">
      <alignment vertical="bottom"/>
    </xf>
    <xf numFmtId="66" fontId="12" fillId="4" borderId="5" applyNumberFormat="1" applyFont="1" applyFill="1" applyBorder="1" applyAlignment="1" applyProtection="0">
      <alignment vertical="bottom"/>
    </xf>
    <xf numFmtId="60" fontId="12" fillId="4" borderId="34" applyNumberFormat="1" applyFont="1" applyFill="1" applyBorder="1" applyAlignment="1" applyProtection="0">
      <alignment vertical="bottom"/>
    </xf>
    <xf numFmtId="65" fontId="12" fillId="5" borderId="36" applyNumberFormat="1" applyFont="1" applyFill="1" applyBorder="1" applyAlignment="1" applyProtection="0">
      <alignment vertical="bottom"/>
    </xf>
    <xf numFmtId="65" fontId="12" fillId="4" borderId="37" applyNumberFormat="1" applyFont="1" applyFill="1" applyBorder="1" applyAlignment="1" applyProtection="0">
      <alignment vertical="bottom"/>
    </xf>
    <xf numFmtId="65" fontId="12" fillId="4" borderId="5" applyNumberFormat="1" applyFont="1" applyFill="1" applyBorder="1" applyAlignment="1" applyProtection="0">
      <alignment vertical="bottom"/>
    </xf>
    <xf numFmtId="0" fontId="3" fillId="4" borderId="5" applyNumberFormat="1" applyFont="1" applyFill="1" applyBorder="1" applyAlignment="1" applyProtection="0">
      <alignment vertical="bottom"/>
    </xf>
    <xf numFmtId="65" fontId="0" fillId="4" borderId="38" applyNumberFormat="1" applyFont="1" applyFill="1" applyBorder="1" applyAlignment="1" applyProtection="0">
      <alignment vertical="bottom"/>
    </xf>
    <xf numFmtId="63" fontId="0" fillId="4" borderId="38" applyNumberFormat="1" applyFont="1" applyFill="1" applyBorder="1" applyAlignment="1" applyProtection="0">
      <alignment vertical="bottom"/>
    </xf>
    <xf numFmtId="65" fontId="0" fillId="4" borderId="39" applyNumberFormat="1" applyFont="1" applyFill="1" applyBorder="1" applyAlignment="1" applyProtection="0">
      <alignment vertical="bottom"/>
    </xf>
    <xf numFmtId="0" fontId="0" fillId="4" borderId="38" applyNumberFormat="0" applyFont="1" applyFill="1" applyBorder="1" applyAlignment="1" applyProtection="0">
      <alignment vertical="bottom"/>
    </xf>
    <xf numFmtId="65" fontId="15" fillId="5" borderId="26" applyNumberFormat="1" applyFont="1" applyFill="1" applyBorder="1" applyAlignment="1" applyProtection="0">
      <alignment vertical="bottom"/>
    </xf>
    <xf numFmtId="65" fontId="0" fillId="4" borderId="40" applyNumberFormat="1" applyFont="1" applyFill="1" applyBorder="1" applyAlignment="1" applyProtection="0">
      <alignment vertical="bottom"/>
    </xf>
    <xf numFmtId="49" fontId="3" fillId="4" borderId="5" applyNumberFormat="1" applyFont="1" applyFill="1" applyBorder="1" applyAlignment="1" applyProtection="0">
      <alignment horizontal="left" vertical="bottom"/>
    </xf>
    <xf numFmtId="49" fontId="0" fillId="4" borderId="5" applyNumberFormat="1" applyFont="1" applyFill="1" applyBorder="1" applyAlignment="1" applyProtection="0">
      <alignment vertical="bottom"/>
    </xf>
    <xf numFmtId="9" fontId="0" fillId="4" borderId="5" applyNumberFormat="1" applyFont="1" applyFill="1" applyBorder="1" applyAlignment="1" applyProtection="0">
      <alignment vertical="bottom"/>
    </xf>
    <xf numFmtId="65" fontId="0" fillId="4" borderId="34" applyNumberFormat="1" applyFont="1" applyFill="1" applyBorder="1" applyAlignment="1" applyProtection="0">
      <alignment vertical="bottom"/>
    </xf>
    <xf numFmtId="63" fontId="0" fillId="4" borderId="34" applyNumberFormat="1" applyFont="1" applyFill="1" applyBorder="1" applyAlignment="1" applyProtection="0">
      <alignment vertical="bottom"/>
    </xf>
    <xf numFmtId="65" fontId="0" fillId="4" borderId="35" applyNumberFormat="1" applyFont="1" applyFill="1" applyBorder="1" applyAlignment="1" applyProtection="0">
      <alignment vertical="bottom"/>
    </xf>
    <xf numFmtId="0" fontId="0" fillId="4" borderId="34" applyNumberFormat="0" applyFont="1" applyFill="1" applyBorder="1" applyAlignment="1" applyProtection="0">
      <alignment vertical="bottom"/>
    </xf>
    <xf numFmtId="65" fontId="15" fillId="5" borderId="36" applyNumberFormat="1" applyFont="1" applyFill="1" applyBorder="1" applyAlignment="1" applyProtection="0">
      <alignment vertical="bottom"/>
    </xf>
    <xf numFmtId="65" fontId="0" fillId="4" borderId="37" applyNumberFormat="1" applyFont="1" applyFill="1" applyBorder="1" applyAlignment="1" applyProtection="0">
      <alignment vertical="bottom"/>
    </xf>
    <xf numFmtId="49" fontId="14" fillId="4" borderId="5" applyNumberFormat="1" applyFont="1" applyFill="1" applyBorder="1" applyAlignment="1" applyProtection="0">
      <alignment horizontal="left" vertical="bottom"/>
    </xf>
    <xf numFmtId="65" fontId="3" fillId="4" borderId="34" applyNumberFormat="1" applyFont="1" applyFill="1" applyBorder="1" applyAlignment="1" applyProtection="0">
      <alignment vertical="bottom"/>
    </xf>
    <xf numFmtId="63" fontId="3" fillId="4" borderId="34" applyNumberFormat="1" applyFont="1" applyFill="1" applyBorder="1" applyAlignment="1" applyProtection="0">
      <alignment vertical="bottom"/>
    </xf>
    <xf numFmtId="65" fontId="3" fillId="4" borderId="35" applyNumberFormat="1" applyFont="1" applyFill="1" applyBorder="1" applyAlignment="1" applyProtection="0">
      <alignment vertical="bottom"/>
    </xf>
    <xf numFmtId="65" fontId="3" fillId="3" borderId="10" applyNumberFormat="1" applyFont="1" applyFill="1" applyBorder="1" applyAlignment="1" applyProtection="0">
      <alignment vertical="bottom"/>
    </xf>
    <xf numFmtId="60" fontId="3" fillId="4" borderId="34" applyNumberFormat="1" applyFont="1" applyFill="1" applyBorder="1" applyAlignment="1" applyProtection="0">
      <alignment vertical="bottom"/>
    </xf>
    <xf numFmtId="65" fontId="3" fillId="5" borderId="36" applyNumberFormat="1" applyFont="1" applyFill="1" applyBorder="1" applyAlignment="1" applyProtection="0">
      <alignment vertical="bottom"/>
    </xf>
    <xf numFmtId="65" fontId="3" fillId="4" borderId="37" applyNumberFormat="1" applyFont="1" applyFill="1" applyBorder="1" applyAlignment="1" applyProtection="0">
      <alignment vertical="bottom"/>
    </xf>
    <xf numFmtId="49" fontId="14" fillId="4" borderId="21" applyNumberFormat="1" applyFont="1" applyFill="1" applyBorder="1" applyAlignment="1" applyProtection="0">
      <alignment horizontal="left" vertical="bottom"/>
    </xf>
    <xf numFmtId="0" fontId="3" fillId="4" borderId="21" applyNumberFormat="1" applyFont="1" applyFill="1" applyBorder="1" applyAlignment="1" applyProtection="0">
      <alignment vertical="bottom"/>
    </xf>
    <xf numFmtId="65" fontId="0" fillId="4" borderId="41" applyNumberFormat="1" applyFont="1" applyFill="1" applyBorder="1" applyAlignment="1" applyProtection="0">
      <alignment vertical="bottom"/>
    </xf>
    <xf numFmtId="63" fontId="0" fillId="4" borderId="41" applyNumberFormat="1" applyFont="1" applyFill="1" applyBorder="1" applyAlignment="1" applyProtection="0">
      <alignment vertical="bottom"/>
    </xf>
    <xf numFmtId="65" fontId="3" fillId="4" borderId="41" applyNumberFormat="1" applyFont="1" applyFill="1" applyBorder="1" applyAlignment="1" applyProtection="0">
      <alignment vertical="bottom"/>
    </xf>
    <xf numFmtId="65" fontId="0" fillId="4" borderId="42" applyNumberFormat="1" applyFont="1" applyFill="1" applyBorder="1" applyAlignment="1" applyProtection="0">
      <alignment vertical="bottom"/>
    </xf>
    <xf numFmtId="60" fontId="0" fillId="4" borderId="21" applyNumberFormat="1" applyFont="1" applyFill="1" applyBorder="1" applyAlignment="1" applyProtection="0">
      <alignment vertical="bottom"/>
    </xf>
    <xf numFmtId="60" fontId="3" fillId="4" borderId="41" applyNumberFormat="1" applyFont="1" applyFill="1" applyBorder="1" applyAlignment="1" applyProtection="0">
      <alignment vertical="bottom"/>
    </xf>
    <xf numFmtId="0" fontId="0" fillId="4" borderId="22" applyNumberFormat="0" applyFont="1" applyFill="1" applyBorder="1" applyAlignment="1" applyProtection="0">
      <alignment vertical="bottom"/>
    </xf>
    <xf numFmtId="65" fontId="0" fillId="4" borderId="43" applyNumberFormat="1" applyFont="1" applyFill="1" applyBorder="1" applyAlignment="1" applyProtection="0">
      <alignment vertical="bottom"/>
    </xf>
    <xf numFmtId="0" fontId="0" fillId="4" borderId="21" applyNumberFormat="0" applyFont="1" applyFill="1" applyBorder="1" applyAlignment="1" applyProtection="0">
      <alignment vertical="bottom"/>
    </xf>
    <xf numFmtId="65" fontId="0" fillId="4" borderId="21" applyNumberFormat="1" applyFont="1" applyFill="1" applyBorder="1" applyAlignment="1" applyProtection="0">
      <alignment vertical="bottom"/>
    </xf>
    <xf numFmtId="0" fontId="3" fillId="6" borderId="10" applyNumberFormat="1" applyFont="1" applyFill="1" applyBorder="1" applyAlignment="1" applyProtection="0">
      <alignment vertical="bottom"/>
    </xf>
    <xf numFmtId="65" fontId="0" fillId="6" borderId="10" applyNumberFormat="1" applyFont="1" applyFill="1" applyBorder="1" applyAlignment="1" applyProtection="0">
      <alignment vertical="bottom"/>
    </xf>
    <xf numFmtId="63" fontId="0" fillId="6" borderId="10" applyNumberFormat="1" applyFont="1" applyFill="1" applyBorder="1" applyAlignment="1" applyProtection="0">
      <alignment vertical="bottom"/>
    </xf>
    <xf numFmtId="65" fontId="3" fillId="6" borderId="10" applyNumberFormat="1" applyFont="1" applyFill="1" applyBorder="1" applyAlignment="1" applyProtection="0">
      <alignment vertical="bottom"/>
    </xf>
    <xf numFmtId="63" fontId="15" fillId="6" borderId="10" applyNumberFormat="1" applyFont="1" applyFill="1" applyBorder="1" applyAlignment="1" applyProtection="0">
      <alignment vertical="bottom"/>
    </xf>
    <xf numFmtId="49" fontId="3" fillId="4" borderId="27" applyNumberFormat="1" applyFont="1" applyFill="1" applyBorder="1" applyAlignment="1" applyProtection="0">
      <alignment vertical="bottom"/>
    </xf>
    <xf numFmtId="60" fontId="0" fillId="4" borderId="27" applyNumberFormat="1" applyFont="1" applyFill="1" applyBorder="1" applyAlignment="1" applyProtection="0">
      <alignment vertical="bottom"/>
    </xf>
    <xf numFmtId="9" fontId="0" fillId="4" borderId="20" applyNumberFormat="1" applyFont="1" applyFill="1" applyBorder="1" applyAlignment="1" applyProtection="0">
      <alignment vertical="bottom"/>
    </xf>
    <xf numFmtId="65" fontId="12" fillId="4" borderId="38" applyNumberFormat="1" applyFont="1" applyFill="1" applyBorder="1" applyAlignment="1" applyProtection="0">
      <alignment vertical="bottom"/>
    </xf>
    <xf numFmtId="60" fontId="12" fillId="4" borderId="38" applyNumberFormat="1" applyFont="1" applyFill="1" applyBorder="1" applyAlignment="1" applyProtection="0">
      <alignment vertical="bottom"/>
    </xf>
    <xf numFmtId="49" fontId="18" fillId="4" borderId="5" applyNumberFormat="1" applyFont="1" applyFill="1" applyBorder="1" applyAlignment="1" applyProtection="0">
      <alignment vertical="bottom"/>
    </xf>
    <xf numFmtId="65" fontId="0" fillId="4" borderId="44" applyNumberFormat="1" applyFont="1" applyFill="1" applyBorder="1" applyAlignment="1" applyProtection="0">
      <alignment vertical="bottom"/>
    </xf>
    <xf numFmtId="65" fontId="0" fillId="4" borderId="45" applyNumberFormat="1" applyFont="1" applyFill="1" applyBorder="1" applyAlignment="1" applyProtection="0">
      <alignment vertical="bottom"/>
    </xf>
    <xf numFmtId="60" fontId="0" fillId="4" borderId="46" applyNumberFormat="1" applyFont="1" applyFill="1" applyBorder="1" applyAlignment="1" applyProtection="0">
      <alignment vertical="bottom"/>
    </xf>
    <xf numFmtId="65" fontId="0" fillId="4" borderId="46" applyNumberFormat="1" applyFont="1" applyFill="1" applyBorder="1" applyAlignment="1" applyProtection="0">
      <alignment vertical="bottom"/>
    </xf>
    <xf numFmtId="0" fontId="0" fillId="4" borderId="45" applyNumberFormat="1" applyFont="1" applyFill="1" applyBorder="1" applyAlignment="1" applyProtection="0">
      <alignment vertical="bottom"/>
    </xf>
    <xf numFmtId="10" fontId="0" fillId="4" borderId="5" applyNumberFormat="1" applyFont="1" applyFill="1" applyBorder="1" applyAlignment="1" applyProtection="0">
      <alignment vertical="bottom"/>
    </xf>
    <xf numFmtId="49" fontId="0" fillId="4" borderId="45" applyNumberFormat="1" applyFont="1" applyFill="1" applyBorder="1" applyAlignment="1" applyProtection="0">
      <alignment vertical="bottom"/>
    </xf>
    <xf numFmtId="65" fontId="0" fillId="4" borderId="47" applyNumberFormat="1" applyFont="1" applyFill="1" applyBorder="1" applyAlignment="1" applyProtection="0">
      <alignment vertical="bottom"/>
    </xf>
    <xf numFmtId="65" fontId="0" fillId="4" borderId="48" applyNumberFormat="1" applyFont="1" applyFill="1" applyBorder="1" applyAlignment="1" applyProtection="0">
      <alignment vertical="bottom"/>
    </xf>
    <xf numFmtId="49" fontId="0" fillId="4" borderId="49" applyNumberFormat="1" applyFont="1" applyFill="1" applyBorder="1" applyAlignment="1" applyProtection="0">
      <alignment vertical="bottom"/>
    </xf>
    <xf numFmtId="60" fontId="0" fillId="4" borderId="50" applyNumberFormat="1" applyFont="1" applyFill="1" applyBorder="1" applyAlignment="1" applyProtection="0">
      <alignment vertical="bottom"/>
    </xf>
    <xf numFmtId="65" fontId="0" fillId="4" borderId="50" applyNumberFormat="1" applyFont="1" applyFill="1" applyBorder="1" applyAlignment="1" applyProtection="0">
      <alignment vertical="bottom"/>
    </xf>
    <xf numFmtId="60" fontId="0" fillId="4" borderId="38" applyNumberFormat="1" applyFont="1" applyFill="1" applyBorder="1" applyAlignment="1" applyProtection="0">
      <alignment vertical="bottom"/>
    </xf>
    <xf numFmtId="60" fontId="0" fillId="8" borderId="10" applyNumberFormat="1" applyFont="1" applyFill="1" applyBorder="1" applyAlignment="1" applyProtection="0">
      <alignment vertical="bottom"/>
    </xf>
    <xf numFmtId="60" fontId="0" fillId="4" borderId="11" applyNumberFormat="1" applyFont="1" applyFill="1" applyBorder="1" applyAlignment="1" applyProtection="0">
      <alignment vertical="bottom"/>
    </xf>
    <xf numFmtId="60" fontId="16" fillId="4" borderId="27" applyNumberFormat="1" applyFont="1" applyFill="1" applyBorder="1" applyAlignment="1" applyProtection="0">
      <alignment vertical="bottom"/>
    </xf>
    <xf numFmtId="9" fontId="15" fillId="4" borderId="5" applyNumberFormat="1" applyFont="1" applyFill="1" applyBorder="1" applyAlignment="1" applyProtection="0">
      <alignment vertical="bottom" wrapText="1"/>
    </xf>
    <xf numFmtId="65" fontId="17" fillId="4" borderId="5" applyNumberFormat="1" applyFont="1" applyFill="1" applyBorder="1" applyAlignment="1" applyProtection="0">
      <alignment vertical="bottom"/>
    </xf>
    <xf numFmtId="49" fontId="0" fillId="3" borderId="10" applyNumberFormat="1" applyFont="1" applyFill="1" applyBorder="1" applyAlignment="1" applyProtection="0">
      <alignment vertical="bottom"/>
    </xf>
    <xf numFmtId="49" fontId="0" fillId="4" borderId="23" applyNumberFormat="1" applyFont="1" applyFill="1" applyBorder="1" applyAlignment="1" applyProtection="0">
      <alignment vertical="bottom"/>
    </xf>
    <xf numFmtId="0" fontId="19" fillId="4" borderId="5" applyNumberFormat="1" applyFont="1" applyFill="1" applyBorder="1" applyAlignment="1" applyProtection="0">
      <alignment vertical="bottom"/>
    </xf>
    <xf numFmtId="0" fontId="20" fillId="4" borderId="5" applyNumberFormat="1" applyFont="1" applyFill="1" applyBorder="1" applyAlignment="1" applyProtection="0">
      <alignment vertical="bottom"/>
    </xf>
    <xf numFmtId="65" fontId="21" fillId="4" borderId="5" applyNumberFormat="1" applyFont="1" applyFill="1" applyBorder="1" applyAlignment="1" applyProtection="0">
      <alignment vertical="bottom"/>
    </xf>
    <xf numFmtId="65" fontId="21" fillId="4" borderId="38" applyNumberFormat="1" applyFont="1" applyFill="1" applyBorder="1" applyAlignment="1" applyProtection="0">
      <alignment vertical="bottom"/>
    </xf>
    <xf numFmtId="63" fontId="21" fillId="4" borderId="38" applyNumberFormat="1" applyFont="1" applyFill="1" applyBorder="1" applyAlignment="1" applyProtection="0">
      <alignment vertical="bottom"/>
    </xf>
    <xf numFmtId="65" fontId="21" fillId="4" borderId="39" applyNumberFormat="1" applyFont="1" applyFill="1" applyBorder="1" applyAlignment="1" applyProtection="0">
      <alignment vertical="bottom"/>
    </xf>
    <xf numFmtId="65" fontId="21" fillId="3" borderId="26" applyNumberFormat="1" applyFont="1" applyFill="1" applyBorder="1" applyAlignment="1" applyProtection="0">
      <alignment vertical="bottom"/>
    </xf>
    <xf numFmtId="65" fontId="22" fillId="4" borderId="51" applyNumberFormat="1" applyFont="1" applyFill="1" applyBorder="1" applyAlignment="1" applyProtection="0">
      <alignment vertical="bottom"/>
    </xf>
    <xf numFmtId="65" fontId="20" fillId="4" borderId="38" applyNumberFormat="1" applyFont="1" applyFill="1" applyBorder="1" applyAlignment="1" applyProtection="0">
      <alignment vertical="bottom"/>
    </xf>
    <xf numFmtId="65" fontId="12" fillId="5" borderId="26" applyNumberFormat="1" applyFont="1" applyFill="1" applyBorder="1" applyAlignment="1" applyProtection="0">
      <alignment vertical="bottom"/>
    </xf>
    <xf numFmtId="65" fontId="12" fillId="4" borderId="40" applyNumberFormat="1" applyFont="1" applyFill="1" applyBorder="1" applyAlignment="1" applyProtection="0">
      <alignment vertical="bottom"/>
    </xf>
    <xf numFmtId="60" fontId="24" fillId="4" borderId="5" applyNumberFormat="1" applyFont="1" applyFill="1" applyBorder="1" applyAlignment="1" applyProtection="0">
      <alignment vertical="bottom"/>
    </xf>
    <xf numFmtId="49" fontId="25" fillId="4" borderId="5" applyNumberFormat="1" applyFont="1" applyFill="1" applyBorder="1" applyAlignment="1" applyProtection="0">
      <alignment vertical="bottom"/>
    </xf>
    <xf numFmtId="65" fontId="0" fillId="4" borderId="22" applyNumberFormat="1" applyFont="1" applyFill="1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vertical="top"/>
    </xf>
    <xf numFmtId="65" fontId="0" fillId="3" borderId="32" applyNumberFormat="1" applyFont="1" applyFill="1" applyBorder="1" applyAlignment="1" applyProtection="0">
      <alignment vertical="bottom"/>
    </xf>
    <xf numFmtId="65" fontId="0" fillId="4" borderId="51" applyNumberFormat="1" applyFont="1" applyFill="1" applyBorder="1" applyAlignment="1" applyProtection="0">
      <alignment vertical="bottom"/>
    </xf>
    <xf numFmtId="0" fontId="25" fillId="4" borderId="5" applyNumberFormat="1" applyFont="1" applyFill="1" applyBorder="1" applyAlignment="1" applyProtection="0">
      <alignment vertical="bottom"/>
    </xf>
    <xf numFmtId="65" fontId="0" fillId="4" borderId="5" applyNumberFormat="1" applyFont="1" applyFill="1" applyBorder="1" applyAlignment="1" applyProtection="0">
      <alignment vertical="bottom" wrapText="1"/>
    </xf>
    <xf numFmtId="65" fontId="5" fillId="4" borderId="5" applyNumberFormat="1" applyFont="1" applyFill="1" applyBorder="1" applyAlignment="1" applyProtection="0">
      <alignment vertical="bottom"/>
    </xf>
    <xf numFmtId="63" fontId="5" fillId="4" borderId="21" applyNumberFormat="1" applyFont="1" applyFill="1" applyBorder="1" applyAlignment="1" applyProtection="0">
      <alignment vertical="bottom"/>
    </xf>
    <xf numFmtId="0" fontId="24" fillId="4" borderId="5" applyNumberFormat="1" applyFont="1" applyFill="1" applyBorder="1" applyAlignment="1" applyProtection="0">
      <alignment vertical="bottom"/>
    </xf>
    <xf numFmtId="65" fontId="0" fillId="4" borderId="11" applyNumberFormat="1" applyFont="1" applyFill="1" applyBorder="1" applyAlignment="1" applyProtection="0">
      <alignment vertical="bottom" wrapText="1"/>
    </xf>
    <xf numFmtId="49" fontId="4" fillId="4" borderId="20" applyNumberFormat="1" applyFont="1" applyFill="1" applyBorder="1" applyAlignment="1" applyProtection="0">
      <alignment vertical="bottom"/>
    </xf>
    <xf numFmtId="63" fontId="0" fillId="4" borderId="10" applyNumberFormat="1" applyFont="1" applyFill="1" applyBorder="1" applyAlignment="1" applyProtection="0">
      <alignment vertical="bottom"/>
    </xf>
    <xf numFmtId="65" fontId="0" fillId="4" borderId="10" applyNumberFormat="1" applyFont="1" applyFill="1" applyBorder="1" applyAlignment="1" applyProtection="0">
      <alignment vertical="bottom"/>
    </xf>
    <xf numFmtId="65" fontId="0" fillId="9" borderId="10" applyNumberFormat="1" applyFont="1" applyFill="1" applyBorder="1" applyAlignment="1" applyProtection="0">
      <alignment vertical="bottom"/>
    </xf>
    <xf numFmtId="65" fontId="0" fillId="4" borderId="52" applyNumberFormat="1" applyFont="1" applyFill="1" applyBorder="1" applyAlignment="1" applyProtection="0">
      <alignment vertical="bottom"/>
    </xf>
    <xf numFmtId="63" fontId="0" fillId="8" borderId="10" applyNumberFormat="1" applyFont="1" applyFill="1" applyBorder="1" applyAlignment="1" applyProtection="0">
      <alignment vertical="bottom"/>
    </xf>
    <xf numFmtId="65" fontId="0" fillId="8" borderId="10" applyNumberFormat="1" applyFont="1" applyFill="1" applyBorder="1" applyAlignment="1" applyProtection="0">
      <alignment vertical="bottom"/>
    </xf>
    <xf numFmtId="60" fontId="26" fillId="4" borderId="5" applyNumberFormat="1" applyFont="1" applyFill="1" applyBorder="1" applyAlignment="1" applyProtection="0">
      <alignment vertical="bottom"/>
    </xf>
    <xf numFmtId="65" fontId="0" fillId="4" borderId="53" applyNumberFormat="1" applyFont="1" applyFill="1" applyBorder="1" applyAlignment="1" applyProtection="0">
      <alignment vertical="bottom" wrapText="1"/>
    </xf>
    <xf numFmtId="65" fontId="0" fillId="4" borderId="23" applyNumberFormat="1" applyFont="1" applyFill="1" applyBorder="1" applyAlignment="1" applyProtection="0">
      <alignment vertical="bottom" wrapText="1"/>
    </xf>
    <xf numFmtId="63" fontId="0" fillId="4" borderId="53" applyNumberFormat="1" applyFont="1" applyFill="1" applyBorder="1" applyAlignment="1" applyProtection="0">
      <alignment vertical="bottom" wrapText="1"/>
    </xf>
    <xf numFmtId="65" fontId="0" fillId="4" borderId="53" applyNumberFormat="1" applyFont="1" applyFill="1" applyBorder="1" applyAlignment="1" applyProtection="0">
      <alignment vertical="bottom"/>
    </xf>
    <xf numFmtId="65" fontId="0" fillId="4" borderId="54" applyNumberFormat="1" applyFont="1" applyFill="1" applyBorder="1" applyAlignment="1" applyProtection="0">
      <alignment vertical="bottom" wrapText="1"/>
    </xf>
    <xf numFmtId="65" fontId="0" fillId="3" borderId="32" applyNumberFormat="1" applyFont="1" applyFill="1" applyBorder="1" applyAlignment="1" applyProtection="0">
      <alignment vertical="bottom" wrapText="1"/>
    </xf>
    <xf numFmtId="65" fontId="15" fillId="5" borderId="32" applyNumberFormat="1" applyFont="1" applyFill="1" applyBorder="1" applyAlignment="1" applyProtection="0">
      <alignment vertical="bottom" wrapText="1"/>
    </xf>
    <xf numFmtId="65" fontId="0" fillId="4" borderId="33" applyNumberFormat="1" applyFont="1" applyFill="1" applyBorder="1" applyAlignment="1" applyProtection="0">
      <alignment vertical="bottom" wrapText="1"/>
    </xf>
    <xf numFmtId="65" fontId="12" fillId="3" borderId="36" applyNumberFormat="1" applyFont="1" applyFill="1" applyBorder="1" applyAlignment="1" applyProtection="0">
      <alignment vertical="bottom"/>
    </xf>
    <xf numFmtId="60" fontId="16" fillId="4" borderId="5" applyNumberFormat="1" applyFont="1" applyFill="1" applyBorder="1" applyAlignment="1" applyProtection="0">
      <alignment vertical="bottom"/>
    </xf>
    <xf numFmtId="9" fontId="15" fillId="4" borderId="5" applyNumberFormat="1" applyFont="1" applyFill="1" applyBorder="1" applyAlignment="1" applyProtection="0">
      <alignment vertical="bottom"/>
    </xf>
    <xf numFmtId="65" fontId="15" fillId="4" borderId="38" applyNumberFormat="1" applyFont="1" applyFill="1" applyBorder="1" applyAlignment="1" applyProtection="0">
      <alignment vertical="bottom"/>
    </xf>
    <xf numFmtId="63" fontId="15" fillId="4" borderId="38" applyNumberFormat="1" applyFont="1" applyFill="1" applyBorder="1" applyAlignment="1" applyProtection="0">
      <alignment vertical="bottom"/>
    </xf>
    <xf numFmtId="65" fontId="15" fillId="4" borderId="39" applyNumberFormat="1" applyFont="1" applyFill="1" applyBorder="1" applyAlignment="1" applyProtection="0">
      <alignment vertical="bottom"/>
    </xf>
    <xf numFmtId="65" fontId="15" fillId="3" borderId="26" applyNumberFormat="1" applyFont="1" applyFill="1" applyBorder="1" applyAlignment="1" applyProtection="0">
      <alignment vertical="bottom"/>
    </xf>
    <xf numFmtId="65" fontId="15" fillId="4" borderId="38" applyNumberFormat="1" applyFont="1" applyFill="1" applyBorder="1" applyAlignment="1" applyProtection="0">
      <alignment vertical="bottom" wrapText="1"/>
    </xf>
    <xf numFmtId="0" fontId="15" fillId="4" borderId="38" applyNumberFormat="1" applyFont="1" applyFill="1" applyBorder="1" applyAlignment="1" applyProtection="0">
      <alignment vertical="bottom"/>
    </xf>
    <xf numFmtId="65" fontId="15" fillId="5" borderId="26" applyNumberFormat="1" applyFont="1" applyFill="1" applyBorder="1" applyAlignment="1" applyProtection="0">
      <alignment vertical="top"/>
    </xf>
    <xf numFmtId="65" fontId="15" fillId="4" borderId="40" applyNumberFormat="1" applyFont="1" applyFill="1" applyBorder="1" applyAlignment="1" applyProtection="0">
      <alignment vertical="bottom" wrapText="1"/>
    </xf>
    <xf numFmtId="65" fontId="15" fillId="4" borderId="23" applyNumberFormat="1" applyFont="1" applyFill="1" applyBorder="1" applyAlignment="1" applyProtection="0">
      <alignment vertical="bottom"/>
    </xf>
    <xf numFmtId="63" fontId="15" fillId="4" borderId="23" applyNumberFormat="1" applyFont="1" applyFill="1" applyBorder="1" applyAlignment="1" applyProtection="0">
      <alignment vertical="bottom"/>
    </xf>
    <xf numFmtId="65" fontId="15" fillId="4" borderId="31" applyNumberFormat="1" applyFont="1" applyFill="1" applyBorder="1" applyAlignment="1" applyProtection="0">
      <alignment vertical="bottom"/>
    </xf>
    <xf numFmtId="65" fontId="15" fillId="3" borderId="10" applyNumberFormat="1" applyFont="1" applyFill="1" applyBorder="1" applyAlignment="1" applyProtection="0">
      <alignment vertical="bottom"/>
    </xf>
    <xf numFmtId="60" fontId="15" fillId="4" borderId="23" applyNumberFormat="1" applyFont="1" applyFill="1" applyBorder="1" applyAlignment="1" applyProtection="0">
      <alignment vertical="bottom"/>
    </xf>
    <xf numFmtId="65" fontId="15" fillId="4" borderId="33" applyNumberFormat="1" applyFont="1" applyFill="1" applyBorder="1" applyAlignment="1" applyProtection="0">
      <alignment vertical="bottom"/>
    </xf>
    <xf numFmtId="49" fontId="11" fillId="4" borderId="5" applyNumberFormat="1" applyFont="1" applyFill="1" applyBorder="1" applyAlignment="1" applyProtection="0">
      <alignment horizontal="center" vertical="bottom"/>
    </xf>
    <xf numFmtId="65" fontId="12" fillId="4" borderId="34" applyNumberFormat="1" applyFont="1" applyFill="1" applyBorder="1" applyAlignment="1" applyProtection="0">
      <alignment vertical="bottom" wrapText="1"/>
    </xf>
    <xf numFmtId="63" fontId="12" fillId="4" borderId="34" applyNumberFormat="1" applyFont="1" applyFill="1" applyBorder="1" applyAlignment="1" applyProtection="0">
      <alignment vertical="bottom" wrapText="1"/>
    </xf>
    <xf numFmtId="65" fontId="12" fillId="4" borderId="35" applyNumberFormat="1" applyFont="1" applyFill="1" applyBorder="1" applyAlignment="1" applyProtection="0">
      <alignment vertical="bottom" wrapText="1"/>
    </xf>
    <xf numFmtId="65" fontId="12" fillId="3" borderId="10" applyNumberFormat="1" applyFont="1" applyFill="1" applyBorder="1" applyAlignment="1" applyProtection="0">
      <alignment vertical="top"/>
    </xf>
    <xf numFmtId="9" fontId="5" fillId="4" borderId="20" applyNumberFormat="1" applyFont="1" applyFill="1" applyBorder="1" applyAlignment="1" applyProtection="0">
      <alignment vertical="bottom"/>
    </xf>
    <xf numFmtId="65" fontId="12" fillId="5" borderId="36" applyNumberFormat="1" applyFont="1" applyFill="1" applyBorder="1" applyAlignment="1" applyProtection="0">
      <alignment vertical="top"/>
    </xf>
    <xf numFmtId="65" fontId="12" fillId="4" borderId="37" applyNumberFormat="1" applyFont="1" applyFill="1" applyBorder="1" applyAlignment="1" applyProtection="0">
      <alignment vertical="bottom" wrapText="1"/>
    </xf>
    <xf numFmtId="60" fontId="0" fillId="4" borderId="23" applyNumberFormat="1" applyFont="1" applyFill="1" applyBorder="1" applyAlignment="1" applyProtection="0">
      <alignment vertical="bottom"/>
    </xf>
    <xf numFmtId="67" fontId="12" fillId="4" borderId="34" applyNumberFormat="1" applyFont="1" applyFill="1" applyBorder="1" applyAlignment="1" applyProtection="0">
      <alignment vertical="bottom"/>
    </xf>
    <xf numFmtId="67" fontId="12" fillId="4" borderId="38" applyNumberFormat="1" applyFont="1" applyFill="1" applyBorder="1" applyAlignment="1" applyProtection="0">
      <alignment vertical="bottom"/>
    </xf>
    <xf numFmtId="63" fontId="12" fillId="4" borderId="38" applyNumberFormat="1" applyFont="1" applyFill="1" applyBorder="1" applyAlignment="1" applyProtection="0">
      <alignment vertical="bottom"/>
    </xf>
    <xf numFmtId="65" fontId="12" fillId="4" borderId="39" applyNumberFormat="1" applyFont="1" applyFill="1" applyBorder="1" applyAlignment="1" applyProtection="0">
      <alignment vertical="bottom"/>
    </xf>
    <xf numFmtId="49" fontId="27" fillId="4" borderId="5" applyNumberFormat="1" applyFont="1" applyFill="1" applyBorder="1" applyAlignment="1" applyProtection="0">
      <alignment horizontal="center" vertical="bottom"/>
    </xf>
    <xf numFmtId="49" fontId="27" fillId="4" borderId="5" applyNumberFormat="1" applyFont="1" applyFill="1" applyBorder="1" applyAlignment="1" applyProtection="0">
      <alignment vertical="bottom"/>
    </xf>
    <xf numFmtId="65" fontId="28" fillId="4" borderId="5" applyNumberFormat="1" applyFont="1" applyFill="1" applyBorder="1" applyAlignment="1" applyProtection="0">
      <alignment vertical="bottom" wrapText="1"/>
    </xf>
    <xf numFmtId="67" fontId="28" fillId="4" borderId="5" applyNumberFormat="1" applyFont="1" applyFill="1" applyBorder="1" applyAlignment="1" applyProtection="0">
      <alignment vertical="bottom" wrapText="1"/>
    </xf>
    <xf numFmtId="65" fontId="28" fillId="4" borderId="5" applyNumberFormat="1" applyFont="1" applyFill="1" applyBorder="1" applyAlignment="1" applyProtection="0">
      <alignment vertical="bottom"/>
    </xf>
    <xf numFmtId="65" fontId="28" fillId="4" borderId="20" applyNumberFormat="1" applyFont="1" applyFill="1" applyBorder="1" applyAlignment="1" applyProtection="0">
      <alignment vertical="bottom" wrapText="1"/>
    </xf>
    <xf numFmtId="65" fontId="28" fillId="3" borderId="10" applyNumberFormat="1" applyFont="1" applyFill="1" applyBorder="1" applyAlignment="1" applyProtection="0">
      <alignment vertical="bottom"/>
    </xf>
    <xf numFmtId="65" fontId="0" borderId="30" applyNumberFormat="1" applyFont="1" applyFill="0" applyBorder="1" applyAlignment="1" applyProtection="0">
      <alignment vertical="bottom"/>
    </xf>
    <xf numFmtId="49" fontId="27" fillId="4" borderId="21" applyNumberFormat="1" applyFont="1" applyFill="1" applyBorder="1" applyAlignment="1" applyProtection="0">
      <alignment horizontal="center" vertical="bottom"/>
    </xf>
    <xf numFmtId="0" fontId="27" fillId="4" borderId="21" applyNumberFormat="1" applyFont="1" applyFill="1" applyBorder="1" applyAlignment="1" applyProtection="0">
      <alignment vertical="bottom"/>
    </xf>
    <xf numFmtId="65" fontId="28" fillId="4" borderId="21" applyNumberFormat="1" applyFont="1" applyFill="1" applyBorder="1" applyAlignment="1" applyProtection="0">
      <alignment vertical="bottom" wrapText="1"/>
    </xf>
    <xf numFmtId="67" fontId="28" fillId="4" borderId="21" applyNumberFormat="1" applyFont="1" applyFill="1" applyBorder="1" applyAlignment="1" applyProtection="0">
      <alignment vertical="bottom" wrapText="1"/>
    </xf>
    <xf numFmtId="65" fontId="28" fillId="4" borderId="21" applyNumberFormat="1" applyFont="1" applyFill="1" applyBorder="1" applyAlignment="1" applyProtection="0">
      <alignment vertical="bottom"/>
    </xf>
    <xf numFmtId="65" fontId="28" fillId="4" borderId="22" applyNumberFormat="1" applyFont="1" applyFill="1" applyBorder="1" applyAlignment="1" applyProtection="0">
      <alignment vertical="bottom" wrapText="1"/>
    </xf>
    <xf numFmtId="65" fontId="28" fillId="3" borderId="10" applyNumberFormat="1" applyFont="1" applyFill="1" applyBorder="1" applyAlignment="1" applyProtection="0">
      <alignment vertical="top"/>
    </xf>
    <xf numFmtId="65" fontId="28" fillId="4" borderId="24" applyNumberFormat="1" applyFont="1" applyFill="1" applyBorder="1" applyAlignment="1" applyProtection="0">
      <alignment vertical="bottom" wrapText="1"/>
    </xf>
    <xf numFmtId="65" fontId="0" fillId="4" borderId="21" applyNumberFormat="1" applyFont="1" applyFill="1" applyBorder="1" applyAlignment="1" applyProtection="0">
      <alignment vertical="bottom" wrapText="1"/>
    </xf>
    <xf numFmtId="65" fontId="0" fillId="5" borderId="10" applyNumberFormat="1" applyFont="1" applyFill="1" applyBorder="1" applyAlignment="1" applyProtection="0">
      <alignment vertical="top"/>
    </xf>
    <xf numFmtId="65" fontId="0" fillId="4" borderId="24" applyNumberFormat="1" applyFont="1" applyFill="1" applyBorder="1" applyAlignment="1" applyProtection="0">
      <alignment vertical="bottom" wrapText="1"/>
    </xf>
    <xf numFmtId="49" fontId="14" fillId="6" borderId="25" applyNumberFormat="1" applyFont="1" applyFill="1" applyBorder="1" applyAlignment="1" applyProtection="0">
      <alignment horizontal="left" vertical="bottom"/>
    </xf>
    <xf numFmtId="0" fontId="0" fillId="6" borderId="10" applyNumberFormat="1" applyFont="1" applyFill="1" applyBorder="1" applyAlignment="1" applyProtection="0">
      <alignment vertical="bottom"/>
    </xf>
    <xf numFmtId="67" fontId="0" fillId="6" borderId="10" applyNumberFormat="1" applyFont="1" applyFill="1" applyBorder="1" applyAlignment="1" applyProtection="0">
      <alignment vertical="bottom"/>
    </xf>
    <xf numFmtId="67" fontId="15" fillId="6" borderId="10" applyNumberFormat="1" applyFont="1" applyFill="1" applyBorder="1" applyAlignment="1" applyProtection="0">
      <alignment vertical="bottom"/>
    </xf>
    <xf numFmtId="49" fontId="5" fillId="4" borderId="27" applyNumberFormat="1" applyFont="1" applyFill="1" applyBorder="1" applyAlignment="1" applyProtection="0">
      <alignment horizontal="center" vertical="bottom"/>
    </xf>
    <xf numFmtId="65" fontId="12" fillId="4" borderId="27" applyNumberFormat="1" applyFont="1" applyFill="1" applyBorder="1" applyAlignment="1" applyProtection="0">
      <alignment vertical="bottom"/>
    </xf>
    <xf numFmtId="60" fontId="7" fillId="4" borderId="27" applyNumberFormat="1" applyFont="1" applyFill="1" applyBorder="1" applyAlignment="1" applyProtection="0">
      <alignment vertical="bottom"/>
    </xf>
    <xf numFmtId="60" fontId="12" fillId="4" borderId="27" applyNumberFormat="1" applyFont="1" applyFill="1" applyBorder="1" applyAlignment="1" applyProtection="0">
      <alignment vertical="bottom"/>
    </xf>
    <xf numFmtId="65" fontId="12" fillId="4" borderId="21" applyNumberFormat="1" applyFont="1" applyFill="1" applyBorder="1" applyAlignment="1" applyProtection="0">
      <alignment vertical="bottom"/>
    </xf>
    <xf numFmtId="63" fontId="12" fillId="4" borderId="5" applyNumberFormat="1" applyFont="1" applyFill="1" applyBorder="1" applyAlignment="1" applyProtection="0">
      <alignment vertical="bottom"/>
    </xf>
    <xf numFmtId="65" fontId="12" fillId="4" borderId="20" applyNumberFormat="1" applyFont="1" applyFill="1" applyBorder="1" applyAlignment="1" applyProtection="0">
      <alignment vertical="bottom"/>
    </xf>
    <xf numFmtId="65" fontId="12" fillId="4" borderId="11" applyNumberFormat="1" applyFont="1" applyFill="1" applyBorder="1" applyAlignment="1" applyProtection="0">
      <alignment vertical="bottom"/>
    </xf>
    <xf numFmtId="60" fontId="12" fillId="4" borderId="5" applyNumberFormat="1" applyFont="1" applyFill="1" applyBorder="1" applyAlignment="1" applyProtection="0">
      <alignment vertical="bottom"/>
    </xf>
    <xf numFmtId="65" fontId="12" fillId="5" borderId="10" applyNumberFormat="1" applyFont="1" applyFill="1" applyBorder="1" applyAlignment="1" applyProtection="0">
      <alignment vertical="bottom"/>
    </xf>
    <xf numFmtId="0" fontId="4" fillId="4" borderId="5" applyNumberFormat="1" applyFont="1" applyFill="1" applyBorder="1" applyAlignment="1" applyProtection="0">
      <alignment horizontal="left" vertical="bottom"/>
    </xf>
    <xf numFmtId="65" fontId="0" fillId="10" borderId="10" applyNumberFormat="1" applyFont="1" applyFill="1" applyBorder="1" applyAlignment="1" applyProtection="0">
      <alignment vertical="bottom"/>
    </xf>
    <xf numFmtId="65" fontId="0" fillId="10" borderId="32" applyNumberFormat="1" applyFont="1" applyFill="1" applyBorder="1" applyAlignment="1" applyProtection="0">
      <alignment vertical="bottom"/>
    </xf>
    <xf numFmtId="49" fontId="4" fillId="4" borderId="5" applyNumberFormat="1" applyFont="1" applyFill="1" applyBorder="1" applyAlignment="1" applyProtection="0">
      <alignment horizontal="left" vertical="bottom"/>
    </xf>
    <xf numFmtId="65" fontId="15" fillId="4" borderId="34" applyNumberFormat="1" applyFont="1" applyFill="1" applyBorder="1" applyAlignment="1" applyProtection="0">
      <alignment horizontal="left" vertical="bottom"/>
    </xf>
    <xf numFmtId="60" fontId="4" fillId="4" borderId="5" applyNumberFormat="1" applyFont="1" applyFill="1" applyBorder="1" applyAlignment="1" applyProtection="0">
      <alignment horizontal="left" vertical="bottom"/>
    </xf>
    <xf numFmtId="60" fontId="0" fillId="4" borderId="20" applyNumberFormat="1" applyFont="1" applyFill="1" applyBorder="1" applyAlignment="1" applyProtection="0">
      <alignment vertical="bottom"/>
    </xf>
    <xf numFmtId="60" fontId="0" fillId="3" borderId="10" applyNumberFormat="1" applyFont="1" applyFill="1" applyBorder="1" applyAlignment="1" applyProtection="0">
      <alignment vertical="bottom"/>
    </xf>
    <xf numFmtId="60" fontId="0" fillId="4" borderId="40" applyNumberFormat="1" applyFont="1" applyFill="1" applyBorder="1" applyAlignment="1" applyProtection="0">
      <alignment vertical="bottom"/>
    </xf>
    <xf numFmtId="60" fontId="15" borderId="38" applyNumberFormat="1" applyFont="1" applyFill="0" applyBorder="1" applyAlignment="1" applyProtection="0">
      <alignment vertical="bottom"/>
    </xf>
    <xf numFmtId="60" fontId="4" fillId="4" borderId="5" applyNumberFormat="1" applyFont="1" applyFill="1" applyBorder="1" applyAlignment="1" applyProtection="0">
      <alignment vertical="bottom"/>
    </xf>
    <xf numFmtId="67" fontId="0" fillId="4" borderId="5" applyNumberFormat="1" applyFont="1" applyFill="1" applyBorder="1" applyAlignment="1" applyProtection="0">
      <alignment vertical="bottom"/>
    </xf>
    <xf numFmtId="60" fontId="15" borderId="5" applyNumberFormat="1" applyFont="1" applyFill="0" applyBorder="1" applyAlignment="1" applyProtection="0">
      <alignment vertical="bottom"/>
    </xf>
    <xf numFmtId="60" fontId="3" fillId="4" borderId="5" applyNumberFormat="1" applyFont="1" applyFill="1" applyBorder="1" applyAlignment="1" applyProtection="0">
      <alignment vertical="bottom"/>
    </xf>
    <xf numFmtId="67" fontId="12" fillId="4" borderId="5" applyNumberFormat="1" applyFont="1" applyFill="1" applyBorder="1" applyAlignment="1" applyProtection="0">
      <alignment vertical="bottom"/>
    </xf>
    <xf numFmtId="60" fontId="12" fillId="4" borderId="20" applyNumberFormat="1" applyFont="1" applyFill="1" applyBorder="1" applyAlignment="1" applyProtection="0">
      <alignment vertical="bottom"/>
    </xf>
    <xf numFmtId="60" fontId="12" fillId="3" borderId="10" applyNumberFormat="1" applyFont="1" applyFill="1" applyBorder="1" applyAlignment="1" applyProtection="0">
      <alignment vertical="bottom"/>
    </xf>
    <xf numFmtId="60" fontId="12" borderId="5" applyNumberFormat="1" applyFont="1" applyFill="0" applyBorder="1" applyAlignment="1" applyProtection="0">
      <alignment vertical="bottom"/>
    </xf>
    <xf numFmtId="64" fontId="0" fillId="4" borderId="5" applyNumberFormat="1" applyFont="1" applyFill="1" applyBorder="1" applyAlignment="1" applyProtection="0">
      <alignment vertical="bottom"/>
    </xf>
    <xf numFmtId="60" fontId="12" fillId="3" borderId="55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2dbdb"/>
      <rgbColor rgb="ff0033cc"/>
      <rgbColor rgb="fff2f2f2"/>
      <rgbColor rgb="ffffffff"/>
      <rgbColor rgb="ffaaaaaa"/>
      <rgbColor rgb="ff7891b0"/>
      <rgbColor rgb="ffffcc99"/>
      <rgbColor rgb="ffcc99ff"/>
      <rgbColor rgb="ffff99cc"/>
      <rgbColor rgb="ffff0000"/>
      <rgbColor rgb="ffffff00"/>
      <rgbColor rgb="ff0000ff"/>
      <rgbColor rgb="ffffc7ce"/>
      <rgbColor rgb="fffbd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182"/>
  <sheetViews>
    <sheetView workbookViewId="0" showGridLines="0" defaultGridColor="1"/>
  </sheetViews>
  <sheetFormatPr defaultColWidth="8.83333" defaultRowHeight="15" customHeight="1" outlineLevelRow="0" outlineLevelCol="0"/>
  <cols>
    <col min="1" max="1" width="9.5" style="1" customWidth="1"/>
    <col min="2" max="2" width="24.1719" style="1" customWidth="1"/>
    <col min="3" max="3" hidden="1" width="8.83333" style="1" customWidth="1"/>
    <col min="4" max="4" hidden="1" width="8.83333" style="1" customWidth="1"/>
    <col min="5" max="5" width="11.5" style="1" customWidth="1"/>
    <col min="6" max="6" width="11.5" style="1" customWidth="1"/>
    <col min="7" max="7" hidden="1" width="8.83333" style="1" customWidth="1"/>
    <col min="8" max="8" hidden="1" width="8.83333" style="1" customWidth="1"/>
    <col min="9" max="9" hidden="1" width="8.83333" style="1" customWidth="1"/>
    <col min="10" max="10" hidden="1" width="8.83333" style="1" customWidth="1"/>
    <col min="11" max="11" hidden="1" width="8.83333" style="1" customWidth="1"/>
    <col min="12" max="12" width="11.5" style="1" customWidth="1"/>
    <col min="13" max="13" width="11.5" style="1" customWidth="1"/>
    <col min="14" max="14" width="11.5" style="1" customWidth="1"/>
    <col min="15" max="15" width="11.5" style="1" customWidth="1"/>
    <col min="16" max="16" hidden="1" width="8.83333" style="1" customWidth="1"/>
    <col min="17" max="17" hidden="1" width="8.83333" style="1" customWidth="1"/>
    <col min="18" max="18" hidden="1" width="8.83333" style="1" customWidth="1"/>
    <col min="19" max="19" hidden="1" width="8.83333" style="1" customWidth="1"/>
    <col min="20" max="20" hidden="1" width="8.83333" style="1" customWidth="1"/>
    <col min="21" max="21" hidden="1" width="8.83333" style="1" customWidth="1"/>
    <col min="22" max="22" hidden="1" width="8.83333" style="1" customWidth="1"/>
    <col min="23" max="23" hidden="1" width="8.83333" style="1" customWidth="1"/>
    <col min="24" max="24" hidden="1" width="8.83333" style="1" customWidth="1"/>
    <col min="25" max="25" width="11.8516" style="1" customWidth="1"/>
    <col min="26" max="26" width="11.8516" style="1" customWidth="1"/>
    <col min="27" max="27" width="11.8516" style="1" customWidth="1"/>
    <col min="28" max="28" width="11.8516" style="1" customWidth="1"/>
    <col min="29" max="29" width="11.5" style="1" customWidth="1"/>
    <col min="30" max="30" width="10" style="1" customWidth="1"/>
    <col min="31" max="256" width="8.85156" style="1" customWidth="1"/>
  </cols>
  <sheetData>
    <row r="1" ht="15.75" customHeight="1" hidden="1">
      <c r="A1" t="s" s="2">
        <v>0</v>
      </c>
      <c r="B1" s="3"/>
      <c r="C1" s="4"/>
      <c r="D1" s="5"/>
      <c r="E1" s="5"/>
      <c r="F1" s="6"/>
      <c r="G1" s="7"/>
      <c r="H1" s="4"/>
      <c r="I1" s="4"/>
      <c r="J1" s="4"/>
      <c r="K1" s="8"/>
      <c r="L1" s="9"/>
      <c r="M1" s="10"/>
      <c r="N1" s="11"/>
      <c r="O1" s="11"/>
      <c r="P1" s="12"/>
      <c r="Q1" s="13"/>
      <c r="R1" s="13"/>
      <c r="S1" s="14"/>
      <c r="T1" s="15"/>
      <c r="U1" s="13"/>
      <c r="V1" s="13"/>
      <c r="W1" s="13"/>
      <c r="X1" s="13"/>
      <c r="Y1" s="16"/>
      <c r="Z1" s="17"/>
      <c r="AA1" s="11"/>
      <c r="AB1" s="11"/>
      <c r="AC1" s="13"/>
      <c r="AD1" s="13"/>
    </row>
    <row r="2" ht="15.75" customHeight="1" hidden="1">
      <c r="A2" s="18"/>
      <c r="B2" t="s" s="19">
        <v>1</v>
      </c>
      <c r="C2" s="20"/>
      <c r="D2" s="21">
        <v>41456</v>
      </c>
      <c r="E2" s="22">
        <v>6</v>
      </c>
      <c r="F2" t="s" s="23">
        <v>2</v>
      </c>
      <c r="G2" s="24"/>
      <c r="H2" s="25"/>
      <c r="I2" s="25"/>
      <c r="J2" s="25"/>
      <c r="K2" s="26"/>
      <c r="L2" s="27"/>
      <c r="M2" s="28"/>
      <c r="N2" s="29"/>
      <c r="O2" s="29"/>
      <c r="P2" s="12"/>
      <c r="Q2" s="13"/>
      <c r="R2" s="13"/>
      <c r="S2" s="30"/>
      <c r="T2" s="15"/>
      <c r="U2" s="13"/>
      <c r="V2" s="13"/>
      <c r="W2" s="13"/>
      <c r="X2" s="13"/>
      <c r="Y2" s="31">
        <v>26</v>
      </c>
      <c r="Z2" s="32"/>
      <c r="AA2" s="29"/>
      <c r="AB2" s="29"/>
      <c r="AC2" s="13"/>
      <c r="AD2" s="13"/>
    </row>
    <row r="3" ht="15.75" customHeight="1" hidden="1">
      <c r="A3" s="18"/>
      <c r="B3" t="s" s="19">
        <v>3</v>
      </c>
      <c r="C3" s="20"/>
      <c r="D3" s="33">
        <v>0.02</v>
      </c>
      <c r="E3" s="34"/>
      <c r="F3" s="34"/>
      <c r="G3" s="24"/>
      <c r="H3" s="25"/>
      <c r="I3" s="25"/>
      <c r="J3" s="25"/>
      <c r="K3" s="35"/>
      <c r="L3" s="27"/>
      <c r="M3" s="28"/>
      <c r="N3" s="36"/>
      <c r="O3" s="36"/>
      <c r="P3" s="12"/>
      <c r="Q3" s="13"/>
      <c r="R3" s="13"/>
      <c r="S3" s="30"/>
      <c r="T3" s="15"/>
      <c r="U3" s="13"/>
      <c r="V3" s="13"/>
      <c r="W3" s="13"/>
      <c r="X3" s="13"/>
      <c r="Y3" s="37">
        <f>Y2/52*6</f>
        <v>3</v>
      </c>
      <c r="Z3" s="38"/>
      <c r="AA3" s="36"/>
      <c r="AB3" s="36"/>
      <c r="AC3" s="13"/>
      <c r="AD3" s="13"/>
    </row>
    <row r="4" ht="15.75" customHeight="1" hidden="1">
      <c r="A4" s="39"/>
      <c r="B4" s="40"/>
      <c r="C4" s="41"/>
      <c r="D4" s="41"/>
      <c r="E4" t="s" s="42">
        <v>4</v>
      </c>
      <c r="F4" s="43"/>
      <c r="G4" s="40"/>
      <c r="H4" s="44"/>
      <c r="I4" s="44"/>
      <c r="J4" s="44"/>
      <c r="K4" s="45"/>
      <c r="L4" s="46"/>
      <c r="M4" s="47"/>
      <c r="N4" s="48"/>
      <c r="O4" s="48"/>
      <c r="P4" s="12"/>
      <c r="Q4" s="13"/>
      <c r="R4" s="13"/>
      <c r="S4" s="49"/>
      <c r="T4" s="15"/>
      <c r="U4" s="13"/>
      <c r="V4" s="13"/>
      <c r="W4" s="13"/>
      <c r="X4" s="13"/>
      <c r="Y4" s="50"/>
      <c r="Z4" s="51"/>
      <c r="AA4" s="48"/>
      <c r="AB4" s="48"/>
      <c r="AC4" s="13"/>
      <c r="AD4" s="13"/>
    </row>
    <row r="5" ht="15.75" customHeight="1" hidden="1">
      <c r="A5" s="52"/>
      <c r="B5" s="53"/>
      <c r="C5" s="54"/>
      <c r="D5" s="54"/>
      <c r="E5" s="54"/>
      <c r="F5" s="54"/>
      <c r="G5" s="52"/>
      <c r="H5" s="54"/>
      <c r="I5" s="54"/>
      <c r="J5" s="55"/>
      <c r="K5" s="56"/>
      <c r="L5" s="57"/>
      <c r="M5" s="58"/>
      <c r="N5" s="59"/>
      <c r="O5" s="59"/>
      <c r="P5" s="12"/>
      <c r="Q5" s="13"/>
      <c r="R5" s="13"/>
      <c r="S5" s="60"/>
      <c r="T5" s="61"/>
      <c r="U5" s="13"/>
      <c r="V5" s="13"/>
      <c r="W5" s="13"/>
      <c r="X5" s="13"/>
      <c r="Y5" s="54"/>
      <c r="Z5" s="59"/>
      <c r="AA5" s="59"/>
      <c r="AB5" s="59"/>
      <c r="AC5" s="13"/>
      <c r="AD5" s="13"/>
    </row>
    <row r="6" ht="15.75" customHeight="1" hidden="1">
      <c r="A6" s="13"/>
      <c r="B6" s="62"/>
      <c r="C6" s="59"/>
      <c r="D6" s="59"/>
      <c r="E6" s="59"/>
      <c r="F6" s="59"/>
      <c r="G6" s="13"/>
      <c r="H6" s="59"/>
      <c r="I6" s="59"/>
      <c r="J6" s="63"/>
      <c r="K6" s="64"/>
      <c r="L6" s="65"/>
      <c r="M6" s="61"/>
      <c r="N6" s="59"/>
      <c r="O6" s="59"/>
      <c r="P6" s="12"/>
      <c r="Q6" s="13"/>
      <c r="R6" s="13"/>
      <c r="S6" s="66"/>
      <c r="T6" s="61"/>
      <c r="U6" s="13"/>
      <c r="V6" s="13"/>
      <c r="W6" s="13"/>
      <c r="X6" s="13"/>
      <c r="Y6" s="59"/>
      <c r="Z6" s="59"/>
      <c r="AA6" s="59"/>
      <c r="AB6" s="59"/>
      <c r="AC6" s="13"/>
      <c r="AD6" s="13"/>
    </row>
    <row r="7" ht="21" customHeight="1" hidden="1">
      <c r="A7" t="s" s="67">
        <v>5</v>
      </c>
      <c r="B7" s="62"/>
      <c r="C7" s="59"/>
      <c r="D7" s="59"/>
      <c r="E7" s="59"/>
      <c r="F7" s="59"/>
      <c r="G7" s="13"/>
      <c r="H7" s="59"/>
      <c r="I7" s="59"/>
      <c r="J7" s="63"/>
      <c r="K7" s="64"/>
      <c r="L7" s="65"/>
      <c r="M7" s="61"/>
      <c r="N7" s="59"/>
      <c r="O7" s="59"/>
      <c r="P7" s="12"/>
      <c r="Q7" s="13"/>
      <c r="R7" s="13"/>
      <c r="S7" s="68"/>
      <c r="T7" s="61"/>
      <c r="U7" s="13"/>
      <c r="V7" s="13"/>
      <c r="W7" s="13"/>
      <c r="X7" s="13"/>
      <c r="Y7" s="59"/>
      <c r="Z7" s="59"/>
      <c r="AA7" s="59"/>
      <c r="AB7" s="59"/>
      <c r="AC7" s="13"/>
      <c r="AD7" s="13"/>
    </row>
    <row r="8" ht="63" customHeight="1">
      <c r="A8" t="s" s="69">
        <v>6</v>
      </c>
      <c r="B8" s="70"/>
      <c r="C8" t="s" s="71">
        <v>7</v>
      </c>
      <c r="D8" t="s" s="71">
        <v>8</v>
      </c>
      <c r="E8" t="s" s="71">
        <v>9</v>
      </c>
      <c r="F8" t="s" s="71">
        <v>10</v>
      </c>
      <c r="G8" t="s" s="72">
        <v>11</v>
      </c>
      <c r="H8" t="s" s="71">
        <v>12</v>
      </c>
      <c r="I8" t="s" s="71">
        <v>13</v>
      </c>
      <c r="J8" t="s" s="73">
        <v>14</v>
      </c>
      <c r="K8" s="74"/>
      <c r="L8" t="s" s="75">
        <v>10</v>
      </c>
      <c r="M8" t="s" s="75">
        <v>15</v>
      </c>
      <c r="N8" t="s" s="75">
        <v>16</v>
      </c>
      <c r="O8" t="s" s="75">
        <v>17</v>
      </c>
      <c r="P8" t="s" s="76">
        <v>18</v>
      </c>
      <c r="Q8" t="s" s="72">
        <v>19</v>
      </c>
      <c r="R8" t="s" s="77">
        <v>20</v>
      </c>
      <c r="S8" t="s" s="78">
        <v>21</v>
      </c>
      <c r="T8" t="s" s="79">
        <v>22</v>
      </c>
      <c r="U8" s="13"/>
      <c r="V8" s="13"/>
      <c r="W8" s="13"/>
      <c r="X8" s="13"/>
      <c r="Y8" t="s" s="71">
        <v>23</v>
      </c>
      <c r="Z8" t="s" s="75">
        <v>24</v>
      </c>
      <c r="AA8" t="s" s="71">
        <v>25</v>
      </c>
      <c r="AB8" t="s" s="71">
        <v>26</v>
      </c>
      <c r="AC8" t="s" s="80">
        <v>27</v>
      </c>
      <c r="AD8" s="13"/>
    </row>
    <row r="9" ht="18.75" customHeight="1">
      <c r="A9" t="s" s="81">
        <v>28</v>
      </c>
      <c r="B9" s="82"/>
      <c r="C9" s="83"/>
      <c r="D9" s="83"/>
      <c r="E9" s="84"/>
      <c r="F9" s="84"/>
      <c r="G9" s="83"/>
      <c r="H9" s="83"/>
      <c r="I9" s="83"/>
      <c r="J9" s="83"/>
      <c r="K9" s="85"/>
      <c r="L9" s="84"/>
      <c r="M9" s="84"/>
      <c r="N9" t="s" s="86">
        <v>29</v>
      </c>
      <c r="O9" t="s" s="86">
        <v>29</v>
      </c>
      <c r="P9" s="87"/>
      <c r="Q9" s="88"/>
      <c r="R9" s="89"/>
      <c r="S9" s="88"/>
      <c r="T9" s="83"/>
      <c r="U9" s="90"/>
      <c r="V9" s="13"/>
      <c r="W9" s="13"/>
      <c r="X9" s="91"/>
      <c r="Y9" s="84"/>
      <c r="Z9" t="s" s="86">
        <v>29</v>
      </c>
      <c r="AA9" s="84"/>
      <c r="AB9" s="84"/>
      <c r="AC9" s="90"/>
      <c r="AD9" s="13"/>
    </row>
    <row r="10" ht="15.75" customHeight="1">
      <c r="A10" t="s" s="92">
        <v>30</v>
      </c>
      <c r="B10" s="93"/>
      <c r="C10" s="94"/>
      <c r="D10" s="94"/>
      <c r="E10" s="95"/>
      <c r="F10" s="95"/>
      <c r="G10" s="94"/>
      <c r="H10" s="94"/>
      <c r="I10" s="94"/>
      <c r="J10" s="96"/>
      <c r="K10" s="97"/>
      <c r="L10" s="94"/>
      <c r="M10" s="94"/>
      <c r="N10" s="94"/>
      <c r="O10" s="94"/>
      <c r="P10" s="98"/>
      <c r="Q10" s="98"/>
      <c r="R10" s="99"/>
      <c r="S10" s="100"/>
      <c r="T10" s="101"/>
      <c r="U10" s="13"/>
      <c r="V10" s="13"/>
      <c r="W10" s="13"/>
      <c r="X10" s="13"/>
      <c r="Y10" s="94"/>
      <c r="Z10" s="94"/>
      <c r="AA10" s="94"/>
      <c r="AB10" s="94"/>
      <c r="AC10" s="13"/>
      <c r="AD10" s="13"/>
    </row>
    <row r="11" ht="15.75" customHeight="1">
      <c r="A11" t="s" s="102">
        <v>31</v>
      </c>
      <c r="B11" t="s" s="103">
        <v>32</v>
      </c>
      <c r="C11" s="104">
        <v>7656</v>
      </c>
      <c r="D11" s="104">
        <v>5593.6</v>
      </c>
      <c r="E11" s="105">
        <v>3500.51</v>
      </c>
      <c r="F11" s="105">
        <v>1206.29</v>
      </c>
      <c r="G11" s="104">
        <v>6127.8</v>
      </c>
      <c r="H11" s="104">
        <v>5084.14</v>
      </c>
      <c r="I11" s="104">
        <v>5293.56</v>
      </c>
      <c r="J11" s="106">
        <v>4426.81</v>
      </c>
      <c r="K11" s="97"/>
      <c r="L11" s="104">
        <v>3138</v>
      </c>
      <c r="M11" s="104">
        <v>4766.63</v>
      </c>
      <c r="N11" s="104">
        <v>7753.24</v>
      </c>
      <c r="O11" s="104">
        <v>4705.33</v>
      </c>
      <c r="P11" s="107"/>
      <c r="Q11" s="107">
        <v>6127.8</v>
      </c>
      <c r="R11" s="108"/>
      <c r="S11" s="100">
        <f>3640+1860</f>
        <v>5500</v>
      </c>
      <c r="T11" s="109">
        <v>3640</v>
      </c>
      <c r="U11" s="13"/>
      <c r="V11" s="13"/>
      <c r="W11" s="13"/>
      <c r="X11" s="13"/>
      <c r="Y11" s="104">
        <v>5000</v>
      </c>
      <c r="Z11" s="104">
        <v>2667.72</v>
      </c>
      <c r="AA11" s="104">
        <v>5000</v>
      </c>
      <c r="AB11" s="104"/>
      <c r="AC11" s="13"/>
      <c r="AD11" s="13"/>
    </row>
    <row r="12" ht="15.75" customHeight="1">
      <c r="A12" t="s" s="102">
        <v>33</v>
      </c>
      <c r="B12" t="s" s="103">
        <v>34</v>
      </c>
      <c r="C12" s="104">
        <v>20146.68</v>
      </c>
      <c r="D12" s="104">
        <v>22496.47</v>
      </c>
      <c r="E12" s="105">
        <v>14816</v>
      </c>
      <c r="F12" s="105">
        <v>38261.25</v>
      </c>
      <c r="G12" s="104">
        <v>16660</v>
      </c>
      <c r="H12" s="104">
        <v>35045.02</v>
      </c>
      <c r="I12" s="104">
        <v>30084.5</v>
      </c>
      <c r="J12" s="106">
        <v>10233.8</v>
      </c>
      <c r="K12" s="97"/>
      <c r="L12" s="104">
        <v>40630</v>
      </c>
      <c r="M12" s="104">
        <v>35797.95</v>
      </c>
      <c r="N12" s="104">
        <v>36464.16</v>
      </c>
      <c r="O12" s="104">
        <v>19990.46</v>
      </c>
      <c r="P12" s="107"/>
      <c r="Q12" s="107">
        <v>16660</v>
      </c>
      <c r="R12" s="108"/>
      <c r="S12" s="100">
        <v>21500</v>
      </c>
      <c r="T12" s="109">
        <v>9000</v>
      </c>
      <c r="U12" s="13"/>
      <c r="V12" s="13"/>
      <c r="W12" s="13"/>
      <c r="X12" s="13"/>
      <c r="Y12" s="104">
        <v>20000</v>
      </c>
      <c r="Z12" s="104">
        <v>60883.71</v>
      </c>
      <c r="AA12" s="104">
        <v>110000</v>
      </c>
      <c r="AB12" s="104"/>
      <c r="AC12" s="13"/>
      <c r="AD12" s="13"/>
    </row>
    <row r="13" ht="15.75" customHeight="1">
      <c r="A13" t="s" s="102">
        <v>35</v>
      </c>
      <c r="B13" t="s" s="103">
        <v>36</v>
      </c>
      <c r="C13" s="104">
        <v>161298.23</v>
      </c>
      <c r="D13" s="104">
        <v>165347.55</v>
      </c>
      <c r="E13" s="105">
        <v>169323.5</v>
      </c>
      <c r="F13" s="105">
        <v>111496.5</v>
      </c>
      <c r="G13" s="104">
        <v>149393</v>
      </c>
      <c r="H13" s="104">
        <v>152417.1</v>
      </c>
      <c r="I13" s="104">
        <v>145752.3</v>
      </c>
      <c r="J13" s="106">
        <v>146351.4</v>
      </c>
      <c r="K13" s="97"/>
      <c r="L13" s="104">
        <v>152452</v>
      </c>
      <c r="M13" s="104">
        <v>131758.75</v>
      </c>
      <c r="N13" s="104">
        <f>145350.3-N16</f>
        <v>137350.3</v>
      </c>
      <c r="O13" s="104">
        <v>136388</v>
      </c>
      <c r="P13" s="107"/>
      <c r="Q13" s="107">
        <v>149393</v>
      </c>
      <c r="R13" s="108"/>
      <c r="S13" s="100">
        <f>162516+3084</f>
        <v>165600</v>
      </c>
      <c r="T13" s="109">
        <v>177356.8</v>
      </c>
      <c r="U13" s="13"/>
      <c r="V13" s="13"/>
      <c r="W13" s="13"/>
      <c r="X13" s="13"/>
      <c r="Y13" s="104">
        <v>152412</v>
      </c>
      <c r="Z13" s="104">
        <v>150487</v>
      </c>
      <c r="AA13" s="104">
        <v>77000</v>
      </c>
      <c r="AB13" s="104"/>
      <c r="AC13" s="13"/>
      <c r="AD13" s="13"/>
    </row>
    <row r="14" ht="15.75" customHeight="1">
      <c r="A14" t="s" s="102">
        <v>37</v>
      </c>
      <c r="B14" t="s" s="103">
        <v>38</v>
      </c>
      <c r="C14" s="104">
        <v>0</v>
      </c>
      <c r="D14" s="104">
        <v>636.23</v>
      </c>
      <c r="E14" s="105">
        <v>0</v>
      </c>
      <c r="F14" s="105">
        <v>0</v>
      </c>
      <c r="G14" s="104">
        <v>4784.97</v>
      </c>
      <c r="H14" s="104">
        <v>0.2</v>
      </c>
      <c r="I14" s="104">
        <v>6921.25</v>
      </c>
      <c r="J14" s="106">
        <v>348.39</v>
      </c>
      <c r="K14" s="97"/>
      <c r="L14" s="104">
        <v>0</v>
      </c>
      <c r="M14" s="104">
        <v>0</v>
      </c>
      <c r="N14" s="104">
        <v>0</v>
      </c>
      <c r="O14" s="104">
        <v>0</v>
      </c>
      <c r="P14" s="107"/>
      <c r="Q14" s="107">
        <v>4784.97</v>
      </c>
      <c r="R14" s="108">
        <v>0</v>
      </c>
      <c r="S14" s="100">
        <v>0</v>
      </c>
      <c r="T14" s="109">
        <v>0</v>
      </c>
      <c r="U14" s="13"/>
      <c r="V14" s="13"/>
      <c r="W14" s="13"/>
      <c r="X14" s="13"/>
      <c r="Y14" s="104">
        <v>0</v>
      </c>
      <c r="Z14" s="104">
        <v>3422.65</v>
      </c>
      <c r="AA14" s="104">
        <v>0</v>
      </c>
      <c r="AB14" s="104"/>
      <c r="AC14" s="13"/>
      <c r="AD14" s="13"/>
    </row>
    <row r="15" ht="15.75" customHeight="1">
      <c r="A15" t="s" s="102">
        <v>39</v>
      </c>
      <c r="B15" t="s" s="103">
        <v>40</v>
      </c>
      <c r="C15" s="104">
        <v>2715</v>
      </c>
      <c r="D15" s="104">
        <v>2381</v>
      </c>
      <c r="E15" s="105">
        <v>2985</v>
      </c>
      <c r="F15" s="105">
        <v>935</v>
      </c>
      <c r="G15" s="104">
        <v>2296</v>
      </c>
      <c r="H15" s="104">
        <v>2755</v>
      </c>
      <c r="I15" s="104">
        <v>2926</v>
      </c>
      <c r="J15" s="106">
        <v>2560</v>
      </c>
      <c r="K15" s="97"/>
      <c r="L15" s="104">
        <v>2022</v>
      </c>
      <c r="M15" s="104">
        <v>2568</v>
      </c>
      <c r="N15" s="104">
        <v>2830</v>
      </c>
      <c r="O15" s="104">
        <v>1642.31</v>
      </c>
      <c r="P15" s="107"/>
      <c r="Q15" s="107">
        <v>2296</v>
      </c>
      <c r="R15" s="108"/>
      <c r="S15" s="100">
        <v>2200</v>
      </c>
      <c r="T15" s="109">
        <v>2600</v>
      </c>
      <c r="U15" s="13"/>
      <c r="V15" s="13"/>
      <c r="W15" s="13"/>
      <c r="X15" s="13"/>
      <c r="Y15" s="104">
        <v>1600</v>
      </c>
      <c r="Z15" s="104">
        <v>1920</v>
      </c>
      <c r="AA15" s="104">
        <v>1600</v>
      </c>
      <c r="AB15" s="104"/>
      <c r="AC15" s="13"/>
      <c r="AD15" s="13"/>
    </row>
    <row r="16" ht="15.75" customHeight="1">
      <c r="A16" t="s" s="102">
        <v>41</v>
      </c>
      <c r="B16" t="s" s="103">
        <v>42</v>
      </c>
      <c r="C16" s="110">
        <v>24530</v>
      </c>
      <c r="D16" s="110">
        <v>11700</v>
      </c>
      <c r="E16" s="111">
        <v>8130</v>
      </c>
      <c r="F16" s="111">
        <v>7764.13</v>
      </c>
      <c r="G16" s="112">
        <v>19832</v>
      </c>
      <c r="H16" s="110">
        <v>22330</v>
      </c>
      <c r="I16" s="110">
        <v>24928</v>
      </c>
      <c r="J16" s="110">
        <v>20904</v>
      </c>
      <c r="K16" s="113"/>
      <c r="L16" s="110">
        <v>8469.959999999999</v>
      </c>
      <c r="M16" s="110">
        <f>3212-1176.8</f>
        <v>2035.2</v>
      </c>
      <c r="N16" s="110">
        <v>8000</v>
      </c>
      <c r="O16" s="110">
        <v>3951.96</v>
      </c>
      <c r="P16" t="s" s="114">
        <v>43</v>
      </c>
      <c r="Q16" s="115">
        <v>19832</v>
      </c>
      <c r="R16" s="116"/>
      <c r="S16" s="117">
        <v>8130</v>
      </c>
      <c r="T16" s="110">
        <v>11700</v>
      </c>
      <c r="U16" s="13"/>
      <c r="V16" s="13"/>
      <c r="W16" s="13"/>
      <c r="X16" s="13"/>
      <c r="Y16" s="110">
        <v>2000</v>
      </c>
      <c r="Z16" s="110">
        <v>2020.04</v>
      </c>
      <c r="AA16" s="118">
        <v>2000</v>
      </c>
      <c r="AB16" s="110"/>
      <c r="AC16" s="61"/>
      <c r="AD16" s="13"/>
    </row>
    <row r="17" ht="8.25" customHeight="1">
      <c r="A17" s="102"/>
      <c r="B17" s="62"/>
      <c r="C17" s="119"/>
      <c r="D17" s="119"/>
      <c r="E17" s="120"/>
      <c r="F17" s="120"/>
      <c r="G17" s="119"/>
      <c r="H17" s="119"/>
      <c r="I17" s="119"/>
      <c r="J17" s="121"/>
      <c r="K17" s="97"/>
      <c r="L17" s="119"/>
      <c r="M17" s="119"/>
      <c r="N17" s="119"/>
      <c r="O17" s="119"/>
      <c r="P17" s="107"/>
      <c r="Q17" s="122"/>
      <c r="R17" s="108"/>
      <c r="S17" s="123"/>
      <c r="T17" s="124"/>
      <c r="U17" s="13"/>
      <c r="V17" s="13"/>
      <c r="W17" s="13"/>
      <c r="X17" s="13"/>
      <c r="Y17" s="119"/>
      <c r="Z17" s="119"/>
      <c r="AA17" s="119"/>
      <c r="AB17" s="104"/>
      <c r="AC17" s="13"/>
      <c r="AD17" s="13"/>
    </row>
    <row r="18" ht="15.75" customHeight="1">
      <c r="A18" s="102"/>
      <c r="B18" t="s" s="125">
        <v>44</v>
      </c>
      <c r="C18" s="126">
        <f>SUM(C11:C16)</f>
        <v>216345.91</v>
      </c>
      <c r="D18" s="126">
        <f>SUM(D11:D16)</f>
        <v>208154.85</v>
      </c>
      <c r="E18" s="127">
        <f>SUM(E11:E16)</f>
        <v>198755.01</v>
      </c>
      <c r="F18" s="127">
        <f>SUM(F11:F16)</f>
        <v>159663.17</v>
      </c>
      <c r="G18" s="126">
        <f>SUM(G11:G16)</f>
        <v>199093.77</v>
      </c>
      <c r="H18" s="126">
        <f>SUM(H11:H16)</f>
        <v>217631.46</v>
      </c>
      <c r="I18" s="126">
        <f>SUM(I11:I16)</f>
        <v>215905.61</v>
      </c>
      <c r="J18" s="128">
        <f>SUM(J11:J16)</f>
        <v>184824.4</v>
      </c>
      <c r="K18" s="129"/>
      <c r="L18" s="126">
        <v>206712</v>
      </c>
      <c r="M18" s="126">
        <f>SUM(M11:M17)</f>
        <v>176926.53</v>
      </c>
      <c r="N18" s="126">
        <f>SUM(N11:N17)</f>
        <v>192397.7</v>
      </c>
      <c r="O18" s="126">
        <f>SUM(O11:O17)</f>
        <v>166678.06</v>
      </c>
      <c r="P18" s="130"/>
      <c r="Q18" s="131">
        <f>SUM(Q11:Q16)</f>
        <v>199093.77</v>
      </c>
      <c r="R18" s="108"/>
      <c r="S18" s="132">
        <f>SUM(S11:S16)</f>
        <v>202930</v>
      </c>
      <c r="T18" s="133">
        <f>SUM(T11:T16)</f>
        <v>204296.8</v>
      </c>
      <c r="U18" s="13"/>
      <c r="V18" s="13"/>
      <c r="W18" s="13"/>
      <c r="X18" s="13"/>
      <c r="Y18" s="126">
        <f>SUM(Y11:Y17)</f>
        <v>181012</v>
      </c>
      <c r="Z18" s="126">
        <f>SUM(Z11:Z17)</f>
        <v>221401.12</v>
      </c>
      <c r="AA18" s="126">
        <f>SUM(AA11:AA17)</f>
        <v>195600</v>
      </c>
      <c r="AB18" s="134"/>
      <c r="AC18" s="13"/>
      <c r="AD18" s="13"/>
    </row>
    <row r="19" ht="9" customHeight="1">
      <c r="A19" s="102"/>
      <c r="B19" s="135"/>
      <c r="C19" s="136"/>
      <c r="D19" s="136"/>
      <c r="E19" s="137"/>
      <c r="F19" s="137"/>
      <c r="G19" s="136"/>
      <c r="H19" s="136"/>
      <c r="I19" s="136"/>
      <c r="J19" s="138"/>
      <c r="K19" s="97"/>
      <c r="L19" s="136"/>
      <c r="M19" s="136"/>
      <c r="N19" s="136"/>
      <c r="O19" s="136"/>
      <c r="P19" s="107"/>
      <c r="Q19" s="139"/>
      <c r="R19" s="108"/>
      <c r="S19" s="140"/>
      <c r="T19" s="141"/>
      <c r="U19" s="13"/>
      <c r="V19" s="13"/>
      <c r="W19" s="13"/>
      <c r="X19" s="13"/>
      <c r="Y19" s="136"/>
      <c r="Z19" s="136"/>
      <c r="AA19" s="136"/>
      <c r="AB19" s="104"/>
      <c r="AC19" s="13"/>
      <c r="AD19" s="13"/>
    </row>
    <row r="20" ht="15.75" customHeight="1">
      <c r="A20" t="s" s="142">
        <v>45</v>
      </c>
      <c r="B20" s="135"/>
      <c r="C20" s="104"/>
      <c r="D20" s="104"/>
      <c r="E20" s="105"/>
      <c r="F20" s="105"/>
      <c r="G20" s="104"/>
      <c r="H20" s="104"/>
      <c r="I20" s="104"/>
      <c r="J20" s="106"/>
      <c r="K20" s="97"/>
      <c r="L20" s="104"/>
      <c r="M20" s="104"/>
      <c r="N20" s="104"/>
      <c r="O20" s="104"/>
      <c r="P20" s="107"/>
      <c r="Q20" s="13"/>
      <c r="R20" s="108"/>
      <c r="S20" s="100"/>
      <c r="T20" s="109"/>
      <c r="U20" s="13"/>
      <c r="V20" s="13"/>
      <c r="W20" s="13"/>
      <c r="X20" s="13"/>
      <c r="Y20" s="104"/>
      <c r="Z20" s="104"/>
      <c r="AA20" s="104"/>
      <c r="AB20" s="104"/>
      <c r="AC20" s="13"/>
      <c r="AD20" s="13"/>
    </row>
    <row r="21" ht="15.75" customHeight="1">
      <c r="A21" t="s" s="102">
        <v>46</v>
      </c>
      <c r="B21" t="s" s="103">
        <v>47</v>
      </c>
      <c r="C21" s="104">
        <v>27336</v>
      </c>
      <c r="D21" s="104">
        <v>27336</v>
      </c>
      <c r="E21" s="105">
        <v>27336</v>
      </c>
      <c r="F21" s="105">
        <v>25058</v>
      </c>
      <c r="G21" s="104">
        <v>36000</v>
      </c>
      <c r="H21" s="104">
        <v>34680</v>
      </c>
      <c r="I21" s="104">
        <v>35190</v>
      </c>
      <c r="J21" s="106">
        <v>33408</v>
      </c>
      <c r="K21" s="97"/>
      <c r="L21" s="104">
        <v>27336</v>
      </c>
      <c r="M21" s="104">
        <v>27336</v>
      </c>
      <c r="N21" s="104">
        <v>25058</v>
      </c>
      <c r="O21" s="104">
        <v>27336</v>
      </c>
      <c r="P21" s="107"/>
      <c r="Q21" s="107">
        <v>36000</v>
      </c>
      <c r="R21" s="108"/>
      <c r="S21" s="100">
        <v>27336</v>
      </c>
      <c r="T21" s="109">
        <v>27336</v>
      </c>
      <c r="U21" s="13"/>
      <c r="V21" s="13"/>
      <c r="W21" s="13"/>
      <c r="X21" s="13"/>
      <c r="Y21" s="104">
        <f>3004*12</f>
        <v>36048</v>
      </c>
      <c r="Z21" s="104">
        <v>30704</v>
      </c>
      <c r="AA21" s="104">
        <v>26770</v>
      </c>
      <c r="AB21" s="104"/>
      <c r="AC21" s="13"/>
      <c r="AD21" s="13"/>
    </row>
    <row r="22" ht="15.75" customHeight="1">
      <c r="A22" t="s" s="102">
        <v>48</v>
      </c>
      <c r="B22" t="s" s="103">
        <v>49</v>
      </c>
      <c r="C22" s="104">
        <v>34812</v>
      </c>
      <c r="D22" s="104">
        <v>0</v>
      </c>
      <c r="E22" s="105">
        <v>40567.43</v>
      </c>
      <c r="F22" s="105">
        <v>31911</v>
      </c>
      <c r="G22" s="104">
        <v>47400</v>
      </c>
      <c r="H22" s="104">
        <v>45588</v>
      </c>
      <c r="I22" s="104">
        <v>47820</v>
      </c>
      <c r="J22" s="106">
        <v>47256</v>
      </c>
      <c r="K22" s="97"/>
      <c r="L22" s="104">
        <v>14579.11</v>
      </c>
      <c r="M22" s="104">
        <v>7922</v>
      </c>
      <c r="N22" s="104">
        <v>20</v>
      </c>
      <c r="O22" s="104">
        <v>0</v>
      </c>
      <c r="P22" s="107"/>
      <c r="Q22" s="107">
        <v>47400</v>
      </c>
      <c r="R22" s="108"/>
      <c r="S22" s="100">
        <v>34812</v>
      </c>
      <c r="T22" s="109">
        <v>34812</v>
      </c>
      <c r="U22" s="13"/>
      <c r="V22" s="13"/>
      <c r="W22" s="13"/>
      <c r="X22" s="13"/>
      <c r="Y22" s="104">
        <v>0</v>
      </c>
      <c r="Z22" s="104">
        <v>0</v>
      </c>
      <c r="AA22" s="104">
        <v>0</v>
      </c>
      <c r="AB22" s="104"/>
      <c r="AC22" s="13"/>
      <c r="AD22" s="13"/>
    </row>
    <row r="23" ht="15.75" customHeight="1">
      <c r="A23" t="s" s="102">
        <v>50</v>
      </c>
      <c r="B23" t="s" s="103">
        <v>51</v>
      </c>
      <c r="C23" s="104">
        <v>34812</v>
      </c>
      <c r="D23" s="104">
        <v>34812</v>
      </c>
      <c r="E23" s="105">
        <v>34812</v>
      </c>
      <c r="F23" s="105">
        <v>31911</v>
      </c>
      <c r="G23" s="104">
        <v>47400</v>
      </c>
      <c r="H23" s="104">
        <v>45588</v>
      </c>
      <c r="I23" s="104">
        <v>47820</v>
      </c>
      <c r="J23" s="106">
        <v>47256</v>
      </c>
      <c r="K23" s="97"/>
      <c r="L23" s="104">
        <v>34812</v>
      </c>
      <c r="M23" s="104">
        <v>34812</v>
      </c>
      <c r="N23" s="104">
        <v>34812</v>
      </c>
      <c r="O23" s="104">
        <v>34812</v>
      </c>
      <c r="P23" s="107"/>
      <c r="Q23" s="107">
        <v>47400</v>
      </c>
      <c r="R23" s="108"/>
      <c r="S23" s="100">
        <v>34812</v>
      </c>
      <c r="T23" s="109">
        <v>34812</v>
      </c>
      <c r="U23" s="13"/>
      <c r="V23" s="13"/>
      <c r="W23" s="13"/>
      <c r="X23" s="13"/>
      <c r="Y23" s="104">
        <v>26100</v>
      </c>
      <c r="Z23" s="104">
        <v>22230</v>
      </c>
      <c r="AA23" s="104">
        <v>21911</v>
      </c>
      <c r="AB23" s="104"/>
      <c r="AC23" s="13"/>
      <c r="AD23" s="13"/>
    </row>
    <row r="24" ht="15.75" customHeight="1">
      <c r="A24" t="s" s="102">
        <v>52</v>
      </c>
      <c r="B24" t="s" s="103">
        <v>53</v>
      </c>
      <c r="C24" s="104">
        <v>59000</v>
      </c>
      <c r="D24" s="104">
        <v>49890.36</v>
      </c>
      <c r="E24" s="105">
        <f>40000-802.86</f>
        <v>39197.14</v>
      </c>
      <c r="F24" s="105">
        <v>30000</v>
      </c>
      <c r="G24" s="104">
        <v>62500</v>
      </c>
      <c r="H24" s="104">
        <v>3000</v>
      </c>
      <c r="I24" s="104">
        <v>17000</v>
      </c>
      <c r="J24" s="106">
        <v>0</v>
      </c>
      <c r="K24" s="97"/>
      <c r="L24" s="104">
        <f>30000+2865</f>
        <v>32865</v>
      </c>
      <c r="M24" s="104">
        <f>80708+8450</f>
        <v>89158</v>
      </c>
      <c r="N24" s="104">
        <f>85008-13962</f>
        <v>71046</v>
      </c>
      <c r="O24" s="104">
        <v>81581</v>
      </c>
      <c r="P24" t="s" s="143">
        <v>54</v>
      </c>
      <c r="Q24" s="107">
        <v>62500</v>
      </c>
      <c r="R24" s="108"/>
      <c r="S24" s="100">
        <f>83201.17</f>
        <v>83201.17</v>
      </c>
      <c r="T24" s="109">
        <f>76501.45+6120</f>
        <v>82621.45</v>
      </c>
      <c r="U24" s="13"/>
      <c r="V24" s="13"/>
      <c r="W24" s="13"/>
      <c r="X24" s="13"/>
      <c r="Y24" s="104">
        <v>78123</v>
      </c>
      <c r="Z24" s="104"/>
      <c r="AA24" s="104">
        <v>0</v>
      </c>
      <c r="AB24" s="104"/>
      <c r="AC24" s="13"/>
      <c r="AD24" s="13"/>
    </row>
    <row r="25" ht="9" customHeight="1">
      <c r="A25" s="102"/>
      <c r="B25" s="135"/>
      <c r="C25" s="119"/>
      <c r="D25" s="119"/>
      <c r="E25" s="120"/>
      <c r="F25" s="120"/>
      <c r="G25" s="119"/>
      <c r="H25" s="119"/>
      <c r="I25" s="119"/>
      <c r="J25" s="121"/>
      <c r="K25" s="97"/>
      <c r="L25" s="119"/>
      <c r="M25" s="119"/>
      <c r="N25" s="119"/>
      <c r="O25" s="119"/>
      <c r="P25" s="107"/>
      <c r="Q25" s="122"/>
      <c r="R25" s="108"/>
      <c r="S25" s="123"/>
      <c r="T25" s="124"/>
      <c r="U25" s="13"/>
      <c r="V25" s="13"/>
      <c r="W25" s="13"/>
      <c r="X25" s="13"/>
      <c r="Y25" s="119"/>
      <c r="Z25" s="119"/>
      <c r="AA25" s="119"/>
      <c r="AB25" s="104"/>
      <c r="AC25" s="13"/>
      <c r="AD25" s="13"/>
    </row>
    <row r="26" ht="15.75" customHeight="1">
      <c r="A26" s="102"/>
      <c r="B26" t="s" s="125">
        <v>55</v>
      </c>
      <c r="C26" s="126">
        <f>SUM(C21:C25)</f>
        <v>155960</v>
      </c>
      <c r="D26" s="126">
        <f>SUM(D21:D25)</f>
        <v>112038.36</v>
      </c>
      <c r="E26" s="126">
        <f>SUM(E21:E25)</f>
        <v>141912.57</v>
      </c>
      <c r="F26" s="127">
        <f>SUM(F21:F25)</f>
        <v>118880</v>
      </c>
      <c r="G26" s="126">
        <f>SUM(G21:G25)</f>
        <v>193300</v>
      </c>
      <c r="H26" s="126"/>
      <c r="I26" s="126"/>
      <c r="J26" s="128"/>
      <c r="K26" s="129"/>
      <c r="L26" s="126">
        <f>SUM(L21:L25)</f>
        <v>109592.11</v>
      </c>
      <c r="M26" s="126">
        <f>SUM(M21:M25)</f>
        <v>159228</v>
      </c>
      <c r="N26" s="126">
        <f>SUM(N21:N25)</f>
        <v>130936</v>
      </c>
      <c r="O26" s="126">
        <f>SUM(O21:O25)</f>
        <v>143729</v>
      </c>
      <c r="P26" s="130"/>
      <c r="Q26" s="131"/>
      <c r="R26" s="108"/>
      <c r="S26" s="132">
        <f>SUM(S21:S25)</f>
        <v>180161.17</v>
      </c>
      <c r="T26" s="133">
        <f>SUM(T21:T25)</f>
        <v>179581.45</v>
      </c>
      <c r="U26" s="13"/>
      <c r="V26" s="13"/>
      <c r="W26" s="13"/>
      <c r="X26" s="13"/>
      <c r="Y26" s="126">
        <f>SUM(Y21:Y25)</f>
        <v>140271</v>
      </c>
      <c r="Z26" s="126">
        <f>SUM(Z21:Z25)</f>
        <v>52934</v>
      </c>
      <c r="AA26" s="126">
        <f>SUM(AA21:AA25)</f>
        <v>48681</v>
      </c>
      <c r="AB26" s="144">
        <f>(AA26-Y26)/Y26</f>
        <v>-0.6529503603738478</v>
      </c>
      <c r="AC26" s="13"/>
      <c r="AD26" s="13"/>
    </row>
    <row r="27" ht="9.75" customHeight="1">
      <c r="A27" s="102"/>
      <c r="B27" s="135"/>
      <c r="C27" s="145"/>
      <c r="D27" s="145"/>
      <c r="E27" s="146"/>
      <c r="F27" s="146"/>
      <c r="G27" s="145"/>
      <c r="H27" s="145"/>
      <c r="I27" s="145"/>
      <c r="J27" s="147"/>
      <c r="K27" s="97"/>
      <c r="L27" s="145"/>
      <c r="M27" s="145"/>
      <c r="N27" s="145"/>
      <c r="O27" s="145"/>
      <c r="P27" s="107"/>
      <c r="Q27" s="148"/>
      <c r="R27" s="108"/>
      <c r="S27" s="149"/>
      <c r="T27" s="150"/>
      <c r="U27" s="13"/>
      <c r="V27" s="13"/>
      <c r="W27" s="13"/>
      <c r="X27" s="13"/>
      <c r="Y27" s="145"/>
      <c r="Z27" s="145"/>
      <c r="AA27" s="145"/>
      <c r="AB27" s="104"/>
      <c r="AC27" s="13"/>
      <c r="AD27" s="13"/>
    </row>
    <row r="28" ht="19.5" customHeight="1">
      <c r="A28" t="s" s="151">
        <v>56</v>
      </c>
      <c r="B28" s="135"/>
      <c r="C28" s="152">
        <f>C26+C18</f>
        <v>372305.91</v>
      </c>
      <c r="D28" s="152">
        <f>D26+D18</f>
        <v>320193.21</v>
      </c>
      <c r="E28" s="126">
        <f>E18+E26</f>
        <v>340667.58</v>
      </c>
      <c r="F28" s="153">
        <f>F26+F18</f>
        <v>278543.17</v>
      </c>
      <c r="G28" s="152">
        <f>G26+G18</f>
        <v>392393.77</v>
      </c>
      <c r="H28" s="152">
        <f>H26+H18</f>
        <v>217631.46</v>
      </c>
      <c r="I28" s="152">
        <f>I26+I18</f>
        <v>215905.61</v>
      </c>
      <c r="J28" s="154">
        <f>J26+J18</f>
        <v>184824.4</v>
      </c>
      <c r="K28" s="155"/>
      <c r="L28" s="126">
        <f>L18+L26</f>
        <v>316304.11</v>
      </c>
      <c r="M28" s="126">
        <f>M18+M26</f>
        <v>336154.53</v>
      </c>
      <c r="N28" s="126">
        <f>N18+N26</f>
        <v>323333.7</v>
      </c>
      <c r="O28" s="126">
        <f>O18+O26</f>
        <v>310407.06</v>
      </c>
      <c r="P28" s="130"/>
      <c r="Q28" s="156">
        <f>Q26+Q18</f>
        <v>199093.77</v>
      </c>
      <c r="R28" s="108"/>
      <c r="S28" s="157">
        <f>S26+S18</f>
        <v>383091.17</v>
      </c>
      <c r="T28" s="158">
        <f>T26+T18</f>
        <v>383878.25</v>
      </c>
      <c r="U28" s="13"/>
      <c r="V28" s="13"/>
      <c r="W28" s="13"/>
      <c r="X28" s="13"/>
      <c r="Y28" s="126">
        <f>Y18+Y26</f>
        <v>321283</v>
      </c>
      <c r="Z28" s="126">
        <f>Z18+Z26</f>
        <v>274335.12</v>
      </c>
      <c r="AA28" s="126">
        <f>AA18+AA26</f>
        <v>244281</v>
      </c>
      <c r="AB28" s="144"/>
      <c r="AC28" s="13"/>
      <c r="AD28" s="13"/>
    </row>
    <row r="29" ht="13.5" customHeight="1">
      <c r="A29" s="159"/>
      <c r="B29" s="160"/>
      <c r="C29" s="161"/>
      <c r="D29" s="161"/>
      <c r="E29" s="162"/>
      <c r="F29" s="162"/>
      <c r="G29" s="163"/>
      <c r="H29" s="161"/>
      <c r="I29" s="161"/>
      <c r="J29" s="164"/>
      <c r="K29" s="97"/>
      <c r="L29" s="161"/>
      <c r="M29" s="161"/>
      <c r="N29" s="161"/>
      <c r="O29" s="161"/>
      <c r="P29" s="165"/>
      <c r="Q29" s="166"/>
      <c r="R29" s="167"/>
      <c r="S29" s="140"/>
      <c r="T29" s="168"/>
      <c r="U29" s="169"/>
      <c r="V29" s="169"/>
      <c r="W29" s="169"/>
      <c r="X29" s="169"/>
      <c r="Y29" s="161"/>
      <c r="Z29" s="161"/>
      <c r="AA29" s="161"/>
      <c r="AB29" s="170"/>
      <c r="AC29" s="13"/>
      <c r="AD29" s="13"/>
    </row>
    <row r="30" ht="18.75" customHeight="1">
      <c r="A30" t="s" s="81">
        <v>57</v>
      </c>
      <c r="B30" s="171"/>
      <c r="C30" s="172"/>
      <c r="D30" s="172"/>
      <c r="E30" s="173"/>
      <c r="F30" s="173"/>
      <c r="G30" s="174"/>
      <c r="H30" s="172"/>
      <c r="I30" s="172"/>
      <c r="J30" s="172"/>
      <c r="K30" s="97"/>
      <c r="L30" s="173"/>
      <c r="M30" s="173"/>
      <c r="N30" s="173"/>
      <c r="O30" s="173"/>
      <c r="P30" s="175"/>
      <c r="Q30" s="173"/>
      <c r="R30" s="175"/>
      <c r="S30" s="175"/>
      <c r="T30" s="173"/>
      <c r="U30" s="175"/>
      <c r="V30" s="175"/>
      <c r="W30" s="175"/>
      <c r="X30" s="175"/>
      <c r="Y30" s="173"/>
      <c r="Z30" s="173"/>
      <c r="AA30" s="173"/>
      <c r="AB30" s="173"/>
      <c r="AC30" s="90"/>
      <c r="AD30" s="13"/>
    </row>
    <row r="31" ht="15.75" customHeight="1">
      <c r="A31" t="s" s="176">
        <v>58</v>
      </c>
      <c r="B31" s="93"/>
      <c r="C31" s="94"/>
      <c r="D31" s="94"/>
      <c r="E31" s="95"/>
      <c r="F31" s="95"/>
      <c r="G31" s="94"/>
      <c r="H31" s="94"/>
      <c r="I31" s="94"/>
      <c r="J31" s="96"/>
      <c r="K31" s="97"/>
      <c r="L31" s="94"/>
      <c r="M31" s="94"/>
      <c r="N31" s="94"/>
      <c r="O31" s="94"/>
      <c r="P31" s="177"/>
      <c r="Q31" s="98"/>
      <c r="R31" s="99"/>
      <c r="S31" s="100"/>
      <c r="T31" s="101"/>
      <c r="U31" s="98"/>
      <c r="V31" s="98"/>
      <c r="W31" s="98"/>
      <c r="X31" s="98"/>
      <c r="Y31" s="94"/>
      <c r="Z31" s="94"/>
      <c r="AA31" s="94"/>
      <c r="AB31" s="94"/>
      <c r="AC31" s="13"/>
      <c r="AD31" s="13"/>
    </row>
    <row r="32" ht="15.75" customHeight="1">
      <c r="A32" t="s" s="102">
        <v>59</v>
      </c>
      <c r="B32" t="s" s="103">
        <v>60</v>
      </c>
      <c r="C32" s="104">
        <v>37413.96</v>
      </c>
      <c r="D32" s="104">
        <v>37789</v>
      </c>
      <c r="E32" s="105">
        <v>44214</v>
      </c>
      <c r="F32" s="105">
        <v>37393.62</v>
      </c>
      <c r="G32" s="104">
        <v>37413.96</v>
      </c>
      <c r="H32" s="104">
        <v>38316.96</v>
      </c>
      <c r="I32" s="104">
        <v>36800.04</v>
      </c>
      <c r="J32" s="106">
        <v>35800</v>
      </c>
      <c r="K32" s="97"/>
      <c r="L32" s="104">
        <v>40793</v>
      </c>
      <c r="M32" s="104">
        <v>29942.04</v>
      </c>
      <c r="N32" s="104">
        <v>28405.44</v>
      </c>
      <c r="O32" s="104">
        <v>28976.04</v>
      </c>
      <c r="P32" s="107"/>
      <c r="Q32" s="107">
        <v>37413.96</v>
      </c>
      <c r="R32" s="178">
        <f>IF(T32=0,0,(L32-T32)/T32)</f>
        <v>0.09031378628320949</v>
      </c>
      <c r="S32" s="100">
        <v>44214</v>
      </c>
      <c r="T32" s="109">
        <v>37414</v>
      </c>
      <c r="U32" s="13"/>
      <c r="V32" s="13"/>
      <c r="W32" s="13"/>
      <c r="X32" s="13"/>
      <c r="Y32" s="104">
        <v>28976</v>
      </c>
      <c r="Z32" s="104">
        <v>28975</v>
      </c>
      <c r="AA32" s="104">
        <v>27829</v>
      </c>
      <c r="AB32" s="144">
        <f>(AA32-Y32)/Y32</f>
        <v>-0.03958448371065709</v>
      </c>
      <c r="AC32" s="13"/>
      <c r="AD32" s="13"/>
    </row>
    <row r="33" ht="15.75" customHeight="1">
      <c r="A33" t="s" s="102">
        <v>61</v>
      </c>
      <c r="B33" t="s" s="103">
        <v>62</v>
      </c>
      <c r="C33" s="104">
        <v>0</v>
      </c>
      <c r="D33" s="104">
        <v>0</v>
      </c>
      <c r="E33" s="105">
        <v>0</v>
      </c>
      <c r="F33" s="105">
        <v>0</v>
      </c>
      <c r="G33" s="104">
        <v>0</v>
      </c>
      <c r="H33" s="104">
        <v>0</v>
      </c>
      <c r="I33" s="104">
        <v>0</v>
      </c>
      <c r="J33" s="106">
        <v>1200</v>
      </c>
      <c r="K33" s="97"/>
      <c r="L33" s="104">
        <v>0</v>
      </c>
      <c r="M33" s="104">
        <v>300</v>
      </c>
      <c r="N33" s="104">
        <v>600</v>
      </c>
      <c r="O33" s="104">
        <v>600</v>
      </c>
      <c r="P33" s="107"/>
      <c r="Q33" s="107">
        <v>0</v>
      </c>
      <c r="R33" s="91"/>
      <c r="S33" s="100">
        <v>0</v>
      </c>
      <c r="T33" s="109">
        <v>0</v>
      </c>
      <c r="U33" s="13"/>
      <c r="V33" s="13"/>
      <c r="W33" s="13"/>
      <c r="X33" s="13"/>
      <c r="Y33" s="104">
        <v>600</v>
      </c>
      <c r="Z33" s="104">
        <v>0</v>
      </c>
      <c r="AA33" s="104">
        <v>0</v>
      </c>
      <c r="AB33" s="104"/>
      <c r="AC33" s="13"/>
      <c r="AD33" s="13"/>
    </row>
    <row r="34" ht="15.75" customHeight="1">
      <c r="A34" t="s" s="102">
        <v>63</v>
      </c>
      <c r="B34" t="s" s="103">
        <v>64</v>
      </c>
      <c r="C34" s="104">
        <v>0</v>
      </c>
      <c r="D34" s="104">
        <v>0</v>
      </c>
      <c r="E34" s="105">
        <v>0</v>
      </c>
      <c r="F34" s="105">
        <v>0</v>
      </c>
      <c r="G34" s="104">
        <v>0</v>
      </c>
      <c r="H34" s="104">
        <v>0</v>
      </c>
      <c r="I34" s="104">
        <v>0</v>
      </c>
      <c r="J34" s="106">
        <v>0</v>
      </c>
      <c r="K34" s="97"/>
      <c r="L34" s="104">
        <v>0</v>
      </c>
      <c r="M34" s="104">
        <v>40.56</v>
      </c>
      <c r="N34" s="104">
        <v>0</v>
      </c>
      <c r="O34" s="104">
        <v>0</v>
      </c>
      <c r="P34" s="107"/>
      <c r="Q34" s="107">
        <v>0</v>
      </c>
      <c r="R34" s="91"/>
      <c r="S34" s="100">
        <v>0</v>
      </c>
      <c r="T34" s="109">
        <v>0</v>
      </c>
      <c r="U34" s="13"/>
      <c r="V34" s="13"/>
      <c r="W34" s="13"/>
      <c r="X34" s="13"/>
      <c r="Y34" s="104">
        <v>0</v>
      </c>
      <c r="Z34" s="104">
        <v>0</v>
      </c>
      <c r="AA34" s="104">
        <v>0</v>
      </c>
      <c r="AB34" s="104"/>
      <c r="AC34" s="13"/>
      <c r="AD34" s="13"/>
    </row>
    <row r="35" ht="11.25" customHeight="1">
      <c r="A35" s="102"/>
      <c r="B35" s="62"/>
      <c r="C35" s="119"/>
      <c r="D35" s="119"/>
      <c r="E35" s="120"/>
      <c r="F35" s="120"/>
      <c r="G35" s="119"/>
      <c r="H35" s="119"/>
      <c r="I35" s="119"/>
      <c r="J35" s="121"/>
      <c r="K35" s="97"/>
      <c r="L35" s="119"/>
      <c r="M35" s="119"/>
      <c r="N35" s="119"/>
      <c r="O35" s="119"/>
      <c r="P35" s="107"/>
      <c r="Q35" s="122"/>
      <c r="R35" s="91"/>
      <c r="S35" s="123"/>
      <c r="T35" s="124"/>
      <c r="U35" s="13"/>
      <c r="V35" s="13"/>
      <c r="W35" s="13"/>
      <c r="X35" s="13"/>
      <c r="Y35" s="119"/>
      <c r="Z35" s="119"/>
      <c r="AA35" s="119"/>
      <c r="AB35" s="104"/>
      <c r="AC35" s="13"/>
      <c r="AD35" s="13"/>
    </row>
    <row r="36" ht="15.75" customHeight="1">
      <c r="A36" s="102"/>
      <c r="B36" t="s" s="125">
        <v>65</v>
      </c>
      <c r="C36" s="126">
        <f>SUM(C32:C35)</f>
        <v>37413.96</v>
      </c>
      <c r="D36" s="126">
        <f>SUM(D32:D35)</f>
        <v>37789</v>
      </c>
      <c r="E36" s="127">
        <f>SUM(E32:E35)</f>
        <v>44214</v>
      </c>
      <c r="F36" s="127">
        <f>SUM(F32:F35)</f>
        <v>37393.62</v>
      </c>
      <c r="G36" s="126">
        <f>SUM(G32:G35)</f>
        <v>37413.96</v>
      </c>
      <c r="H36" s="126">
        <f>SUM(H32:H35)</f>
        <v>38316.96</v>
      </c>
      <c r="I36" s="126">
        <f>SUM(I32:I35)</f>
        <v>36800.04</v>
      </c>
      <c r="J36" s="128">
        <f>SUM(J32:J35)</f>
        <v>37000</v>
      </c>
      <c r="K36" s="129"/>
      <c r="L36" s="126">
        <v>40793</v>
      </c>
      <c r="M36" s="126">
        <f>SUM(M32:M35)</f>
        <v>30282.6</v>
      </c>
      <c r="N36" s="126">
        <f>SUM(N32:N35)</f>
        <v>29005.44</v>
      </c>
      <c r="O36" s="126">
        <f>SUM(O32:O35)</f>
        <v>29576.04</v>
      </c>
      <c r="P36" s="107"/>
      <c r="Q36" s="131">
        <f>SUM(Q32:Q35)</f>
        <v>37413.96</v>
      </c>
      <c r="R36" s="178">
        <f>IF(T36=0,0,(L36-T36)/T36)</f>
        <v>0.09031378628320949</v>
      </c>
      <c r="S36" s="132">
        <f>SUM(S32:S35)</f>
        <v>44214</v>
      </c>
      <c r="T36" s="133">
        <f>SUM(T32:T35)</f>
        <v>37414</v>
      </c>
      <c r="U36" s="13"/>
      <c r="V36" s="13"/>
      <c r="W36" s="13"/>
      <c r="X36" s="13"/>
      <c r="Y36" s="126">
        <f>SUM(Y32:Y35)</f>
        <v>29576</v>
      </c>
      <c r="Z36" s="126">
        <f>SUM(Z32:Z35)</f>
        <v>28975</v>
      </c>
      <c r="AA36" s="126">
        <f>SUM(AA32:AA35)</f>
        <v>27829</v>
      </c>
      <c r="AB36" s="134"/>
      <c r="AC36" s="13"/>
      <c r="AD36" s="13"/>
    </row>
    <row r="37" ht="11.25" customHeight="1">
      <c r="A37" s="102"/>
      <c r="B37" s="135"/>
      <c r="C37" s="136"/>
      <c r="D37" s="136"/>
      <c r="E37" s="137"/>
      <c r="F37" s="137"/>
      <c r="G37" s="179"/>
      <c r="H37" s="136"/>
      <c r="I37" s="136"/>
      <c r="J37" s="138"/>
      <c r="K37" s="97"/>
      <c r="L37" s="136"/>
      <c r="M37" s="136"/>
      <c r="N37" s="136"/>
      <c r="O37" s="136"/>
      <c r="P37" s="107"/>
      <c r="Q37" s="180"/>
      <c r="R37" s="91"/>
      <c r="S37" s="140"/>
      <c r="T37" s="141"/>
      <c r="U37" s="13"/>
      <c r="V37" s="13"/>
      <c r="W37" s="13"/>
      <c r="X37" s="13"/>
      <c r="Y37" s="136"/>
      <c r="Z37" s="136"/>
      <c r="AA37" s="136"/>
      <c r="AB37" s="104"/>
      <c r="AC37" s="13"/>
      <c r="AD37" s="13"/>
    </row>
    <row r="38" ht="15.75" customHeight="1">
      <c r="A38" t="s" s="142">
        <v>66</v>
      </c>
      <c r="B38" t="s" s="125">
        <v>67</v>
      </c>
      <c r="C38" s="104"/>
      <c r="D38" s="104"/>
      <c r="E38" s="105"/>
      <c r="F38" s="105"/>
      <c r="G38" s="104"/>
      <c r="H38" s="104"/>
      <c r="I38" s="104"/>
      <c r="J38" s="106"/>
      <c r="K38" s="97"/>
      <c r="L38" s="104"/>
      <c r="M38" s="104"/>
      <c r="N38" s="104"/>
      <c r="O38" s="104"/>
      <c r="P38" s="107"/>
      <c r="Q38" s="13"/>
      <c r="R38" s="91"/>
      <c r="S38" s="100"/>
      <c r="T38" s="109"/>
      <c r="U38" s="13"/>
      <c r="V38" s="13"/>
      <c r="W38" s="13"/>
      <c r="X38" s="13"/>
      <c r="Y38" s="104"/>
      <c r="Z38" s="104"/>
      <c r="AA38" s="104"/>
      <c r="AB38" s="104"/>
      <c r="AC38" s="13"/>
      <c r="AD38" s="13"/>
    </row>
    <row r="39" ht="15.75" customHeight="1">
      <c r="A39" t="s" s="102">
        <v>68</v>
      </c>
      <c r="B39" t="s" s="103">
        <v>69</v>
      </c>
      <c r="C39" s="104">
        <v>48924</v>
      </c>
      <c r="D39" s="104">
        <v>48924</v>
      </c>
      <c r="E39" s="105">
        <v>47275.47</v>
      </c>
      <c r="F39" s="105">
        <v>50416.74</v>
      </c>
      <c r="G39" s="104">
        <v>48924</v>
      </c>
      <c r="H39" s="104">
        <v>45510.96</v>
      </c>
      <c r="I39" s="104">
        <v>44185.92</v>
      </c>
      <c r="J39" s="106">
        <v>42899.04</v>
      </c>
      <c r="K39" s="97"/>
      <c r="L39" s="104">
        <v>56752.58</v>
      </c>
      <c r="M39" s="104">
        <v>47720.03</v>
      </c>
      <c r="N39" s="104">
        <v>46160</v>
      </c>
      <c r="O39" s="104">
        <v>35094.62</v>
      </c>
      <c r="P39" s="107"/>
      <c r="Q39" s="107">
        <v>48924</v>
      </c>
      <c r="R39" s="178">
        <f>IF(T39=0,0,(L39-T39)/T39)</f>
        <v>0.1600151255007768</v>
      </c>
      <c r="S39" s="100">
        <f>48924*1.02+0.52</f>
        <v>49903</v>
      </c>
      <c r="T39" s="109">
        <v>48924</v>
      </c>
      <c r="U39" s="13"/>
      <c r="V39" s="13"/>
      <c r="W39" s="13"/>
      <c r="X39" s="13"/>
      <c r="Y39" s="104">
        <v>53000</v>
      </c>
      <c r="Z39" s="104">
        <v>53000.16</v>
      </c>
      <c r="AA39" s="104">
        <f>Y39</f>
        <v>53000</v>
      </c>
      <c r="AB39" s="144">
        <f>(AA39-Y39)/Y39</f>
        <v>0</v>
      </c>
      <c r="AC39" s="13"/>
      <c r="AD39" s="13"/>
    </row>
    <row r="40" ht="15.75" customHeight="1">
      <c r="A40" t="s" s="102">
        <v>70</v>
      </c>
      <c r="B40" t="s" s="103">
        <v>71</v>
      </c>
      <c r="C40" s="104">
        <v>26318.04</v>
      </c>
      <c r="D40" s="104">
        <v>26318.04</v>
      </c>
      <c r="E40" s="105">
        <v>10463.06</v>
      </c>
      <c r="F40" s="105">
        <v>7620</v>
      </c>
      <c r="G40" s="104">
        <v>26318.04</v>
      </c>
      <c r="H40" s="104">
        <v>24482.04</v>
      </c>
      <c r="I40" s="104">
        <v>23768.04</v>
      </c>
      <c r="J40" s="106">
        <v>23768.04</v>
      </c>
      <c r="K40" s="97"/>
      <c r="L40" s="104">
        <v>8520</v>
      </c>
      <c r="M40" s="104">
        <v>16000</v>
      </c>
      <c r="N40" s="104">
        <v>19039.92</v>
      </c>
      <c r="O40" s="104">
        <v>16522.07</v>
      </c>
      <c r="P40" t="s" s="143">
        <v>72</v>
      </c>
      <c r="Q40" s="107">
        <v>26318.04</v>
      </c>
      <c r="R40" s="178">
        <f>IF(T40=0,0,(L40-T40)/T40)</f>
        <v>-0.6762671935557413</v>
      </c>
      <c r="S40" s="100">
        <f>26318*1.02+0.64</f>
        <v>26845</v>
      </c>
      <c r="T40" s="109">
        <v>26318</v>
      </c>
      <c r="U40" s="13"/>
      <c r="V40" s="13"/>
      <c r="W40" s="13"/>
      <c r="X40" s="13"/>
      <c r="Y40" s="104">
        <v>12000</v>
      </c>
      <c r="Z40" s="104">
        <v>12000</v>
      </c>
      <c r="AA40" s="104">
        <f>Y40</f>
        <v>12000</v>
      </c>
      <c r="AB40" s="144">
        <f>(AA40-Y40)/Y40</f>
        <v>0</v>
      </c>
      <c r="AC40" s="13"/>
      <c r="AD40" s="13"/>
    </row>
    <row r="41" ht="15.75" customHeight="1">
      <c r="A41" t="s" s="102">
        <v>73</v>
      </c>
      <c r="B41" t="s" s="103">
        <v>74</v>
      </c>
      <c r="C41" s="104"/>
      <c r="D41" s="104"/>
      <c r="E41" s="105">
        <v>0</v>
      </c>
      <c r="F41" s="105"/>
      <c r="G41" s="104"/>
      <c r="H41" s="104"/>
      <c r="I41" s="104"/>
      <c r="J41" s="106"/>
      <c r="K41" s="97"/>
      <c r="L41" s="104">
        <v>0</v>
      </c>
      <c r="M41" s="104">
        <v>0</v>
      </c>
      <c r="N41" s="104">
        <v>3589</v>
      </c>
      <c r="O41" s="104">
        <v>10054.13</v>
      </c>
      <c r="P41" s="107"/>
      <c r="Q41" s="107"/>
      <c r="R41" s="178"/>
      <c r="S41" s="100"/>
      <c r="T41" s="109"/>
      <c r="U41" s="13"/>
      <c r="V41" s="13"/>
      <c r="W41" s="13"/>
      <c r="X41" s="13"/>
      <c r="Y41" s="104">
        <v>0</v>
      </c>
      <c r="Z41" s="104">
        <v>0</v>
      </c>
      <c r="AA41" s="104">
        <f>Y41</f>
        <v>0</v>
      </c>
      <c r="AB41" s="144"/>
      <c r="AC41" s="61">
        <v>1</v>
      </c>
      <c r="AD41" s="13"/>
    </row>
    <row r="42" ht="15.75" customHeight="1">
      <c r="A42" t="s" s="102">
        <v>75</v>
      </c>
      <c r="B42" t="s" s="103">
        <v>76</v>
      </c>
      <c r="C42" s="104">
        <v>1041.38</v>
      </c>
      <c r="D42" s="104">
        <v>1865.87</v>
      </c>
      <c r="E42" s="105">
        <v>1570</v>
      </c>
      <c r="F42" s="105">
        <v>795</v>
      </c>
      <c r="G42" s="104">
        <v>403.88</v>
      </c>
      <c r="H42" s="104">
        <v>874.9400000000001</v>
      </c>
      <c r="I42" s="104">
        <v>774.05</v>
      </c>
      <c r="J42" s="106">
        <v>990.17</v>
      </c>
      <c r="K42" s="97"/>
      <c r="L42" s="104">
        <v>1605</v>
      </c>
      <c r="M42" s="104">
        <v>723.11</v>
      </c>
      <c r="N42" s="104">
        <v>745</v>
      </c>
      <c r="O42" s="104">
        <v>4417.22</v>
      </c>
      <c r="P42" t="s" s="181">
        <v>77</v>
      </c>
      <c r="Q42" s="107">
        <v>403.88</v>
      </c>
      <c r="R42" s="178">
        <f>IF(T42=0,0,(L42-T42)/T42)</f>
        <v>1.983271375464684</v>
      </c>
      <c r="S42" s="100">
        <v>625</v>
      </c>
      <c r="T42" s="109">
        <v>538</v>
      </c>
      <c r="U42" s="13"/>
      <c r="V42" s="13"/>
      <c r="W42" s="13"/>
      <c r="X42" s="13"/>
      <c r="Y42" s="104">
        <v>750</v>
      </c>
      <c r="Z42" s="104">
        <v>410</v>
      </c>
      <c r="AA42" s="104">
        <v>750</v>
      </c>
      <c r="AB42" s="144">
        <f>(AA42-Y42)/Y42</f>
        <v>0</v>
      </c>
      <c r="AC42" s="13"/>
      <c r="AD42" s="13"/>
    </row>
    <row r="43" ht="15.75" customHeight="1">
      <c r="A43" t="s" s="102">
        <v>78</v>
      </c>
      <c r="B43" t="s" s="103">
        <v>79</v>
      </c>
      <c r="C43" s="104">
        <v>20618.08</v>
      </c>
      <c r="D43" s="104">
        <v>20762.4</v>
      </c>
      <c r="E43" s="105">
        <v>20892.87</v>
      </c>
      <c r="F43" s="105">
        <v>19571.24</v>
      </c>
      <c r="G43" s="104">
        <v>20539.36</v>
      </c>
      <c r="H43" s="104">
        <v>19479.36</v>
      </c>
      <c r="I43" s="104">
        <v>18960</v>
      </c>
      <c r="J43" s="106">
        <v>16298.05</v>
      </c>
      <c r="K43" s="97"/>
      <c r="L43" s="104">
        <v>21386.69</v>
      </c>
      <c r="M43" s="104">
        <v>21848.88</v>
      </c>
      <c r="N43" s="104">
        <v>21708.24</v>
      </c>
      <c r="O43" s="182">
        <v>21857.45</v>
      </c>
      <c r="P43" s="183">
        <f>L50+L43+L44+L46+L47+L49</f>
        <v>75298.62</v>
      </c>
      <c r="Q43" s="184">
        <v>20539.36</v>
      </c>
      <c r="R43" s="178">
        <f>IF(T43=0,0,(L43-T43)/T43)</f>
        <v>0.03347298733932535</v>
      </c>
      <c r="S43" s="100">
        <f>20694*1.02+0.12</f>
        <v>21108</v>
      </c>
      <c r="T43" s="109">
        <v>20694</v>
      </c>
      <c r="U43" s="13"/>
      <c r="V43" s="13"/>
      <c r="W43" s="13"/>
      <c r="X43" s="13"/>
      <c r="Y43" s="185">
        <v>22359</v>
      </c>
      <c r="Z43" s="104">
        <v>16989.19</v>
      </c>
      <c r="AA43" s="104">
        <v>9750</v>
      </c>
      <c r="AB43" s="144">
        <f>(AA43-Y43)/Y43</f>
        <v>-0.5639339863142359</v>
      </c>
      <c r="AC43" t="s" s="143">
        <v>80</v>
      </c>
      <c r="AD43" s="13"/>
    </row>
    <row r="44" ht="15.75" customHeight="1">
      <c r="A44" t="s" s="102">
        <v>81</v>
      </c>
      <c r="B44" t="s" s="103">
        <v>82</v>
      </c>
      <c r="C44" s="104">
        <v>13247.04</v>
      </c>
      <c r="D44" s="104">
        <v>13247.04</v>
      </c>
      <c r="E44" s="105">
        <v>13512</v>
      </c>
      <c r="F44" s="105">
        <v>12611</v>
      </c>
      <c r="G44" s="104">
        <v>13247.04</v>
      </c>
      <c r="H44" s="104">
        <v>12862.08</v>
      </c>
      <c r="I44" s="104">
        <v>11937.12</v>
      </c>
      <c r="J44" s="106">
        <v>11656.24</v>
      </c>
      <c r="K44" s="97"/>
      <c r="L44" s="104">
        <v>13759.5</v>
      </c>
      <c r="M44" s="104">
        <v>14046.5</v>
      </c>
      <c r="N44" s="104">
        <v>19997.75</v>
      </c>
      <c r="O44" s="182">
        <v>20356</v>
      </c>
      <c r="P44" s="186"/>
      <c r="Q44" s="184">
        <v>13247.04</v>
      </c>
      <c r="R44" s="178">
        <f>IF(T44=0,0,(L44-T44)/T44)</f>
        <v>0.03868800483128255</v>
      </c>
      <c r="S44" s="100">
        <f>13247*1.02+0.06</f>
        <v>13512</v>
      </c>
      <c r="T44" s="109">
        <v>13247</v>
      </c>
      <c r="U44" s="13"/>
      <c r="V44" s="187">
        <f>(S44-T44)/T44</f>
        <v>0.02000452932739488</v>
      </c>
      <c r="W44" s="187">
        <f>(L44-S44)/S44</f>
        <v>0.0183170515097691</v>
      </c>
      <c r="X44" s="13"/>
      <c r="Y44" s="185">
        <v>20256</v>
      </c>
      <c r="Z44" s="104">
        <v>20256</v>
      </c>
      <c r="AA44" s="104">
        <f>Y44</f>
        <v>20256</v>
      </c>
      <c r="AB44" s="144">
        <f>(AA44-Y44)/Y44</f>
        <v>0</v>
      </c>
      <c r="AC44" s="13"/>
      <c r="AD44" s="13"/>
    </row>
    <row r="45" ht="15.75" customHeight="1">
      <c r="A45" t="s" s="102">
        <v>83</v>
      </c>
      <c r="B45" t="s" s="103">
        <v>84</v>
      </c>
      <c r="C45" s="104">
        <v>375</v>
      </c>
      <c r="D45" s="104">
        <v>600</v>
      </c>
      <c r="E45" s="105">
        <v>450</v>
      </c>
      <c r="F45" s="105">
        <v>825</v>
      </c>
      <c r="G45" s="104">
        <v>525</v>
      </c>
      <c r="H45" s="104">
        <v>1350</v>
      </c>
      <c r="I45" s="104">
        <v>525</v>
      </c>
      <c r="J45" s="106">
        <v>400</v>
      </c>
      <c r="K45" s="97"/>
      <c r="L45" s="104">
        <v>900</v>
      </c>
      <c r="M45" s="104">
        <v>750</v>
      </c>
      <c r="N45" s="104">
        <v>550</v>
      </c>
      <c r="O45" s="182">
        <v>775</v>
      </c>
      <c r="P45" t="s" s="188">
        <v>85</v>
      </c>
      <c r="Q45" s="184">
        <v>525</v>
      </c>
      <c r="R45" s="178">
        <f>IF(T45=0,0,(L45-T45)/T45)</f>
        <v>0.5</v>
      </c>
      <c r="S45" s="100">
        <v>600</v>
      </c>
      <c r="T45" s="109">
        <v>600</v>
      </c>
      <c r="U45" s="13"/>
      <c r="V45" s="13"/>
      <c r="W45" s="13"/>
      <c r="X45" s="13"/>
      <c r="Y45" s="185">
        <v>600</v>
      </c>
      <c r="Z45" s="104">
        <v>525</v>
      </c>
      <c r="AA45" s="104">
        <f>Y45</f>
        <v>600</v>
      </c>
      <c r="AB45" s="144">
        <f>(AA45-Y45)/Y45</f>
        <v>0</v>
      </c>
      <c r="AC45" s="13"/>
      <c r="AD45" s="13"/>
    </row>
    <row r="46" ht="15.75" customHeight="1">
      <c r="A46" t="s" s="102">
        <v>86</v>
      </c>
      <c r="B46" t="s" s="103">
        <v>87</v>
      </c>
      <c r="C46" s="104">
        <v>21379.92</v>
      </c>
      <c r="D46" s="104">
        <v>21379.92</v>
      </c>
      <c r="E46" s="105">
        <v>21806.4</v>
      </c>
      <c r="F46" s="105">
        <v>20353.8</v>
      </c>
      <c r="G46" s="104">
        <v>21379.92</v>
      </c>
      <c r="H46" s="104">
        <v>19318.78</v>
      </c>
      <c r="I46" s="104">
        <v>18763.79</v>
      </c>
      <c r="J46" s="106">
        <v>17716</v>
      </c>
      <c r="K46" s="97"/>
      <c r="L46" s="104">
        <v>22207.46</v>
      </c>
      <c r="M46" s="104">
        <v>22670.34</v>
      </c>
      <c r="N46" s="104">
        <v>22688.88</v>
      </c>
      <c r="O46" s="182">
        <v>23383.56</v>
      </c>
      <c r="P46" s="183"/>
      <c r="Q46" s="184">
        <v>21379.92</v>
      </c>
      <c r="R46" s="178">
        <f>IF(T46=0,0,(L46-T46)/T46)</f>
        <v>0.03870252572497657</v>
      </c>
      <c r="S46" s="100">
        <f>21380*1.02+0.4</f>
        <v>21808</v>
      </c>
      <c r="T46" s="109">
        <v>21380</v>
      </c>
      <c r="U46" s="13"/>
      <c r="V46" s="13"/>
      <c r="W46" s="13"/>
      <c r="X46" s="13"/>
      <c r="Y46" s="185">
        <v>23483</v>
      </c>
      <c r="Z46" s="104">
        <v>18440.1</v>
      </c>
      <c r="AA46" s="104">
        <v>0</v>
      </c>
      <c r="AB46" s="144">
        <f>(AA46-Y46)/Y46</f>
        <v>-1</v>
      </c>
      <c r="AC46" s="13"/>
      <c r="AD46" s="107"/>
    </row>
    <row r="47" ht="15.75" customHeight="1">
      <c r="A47" t="s" s="102">
        <v>88</v>
      </c>
      <c r="B47" t="s" s="103">
        <v>89</v>
      </c>
      <c r="C47" s="104">
        <v>8400</v>
      </c>
      <c r="D47" s="104">
        <v>7800</v>
      </c>
      <c r="E47" s="105">
        <v>7956</v>
      </c>
      <c r="F47" s="105">
        <v>7425.6</v>
      </c>
      <c r="G47" s="104">
        <v>7200</v>
      </c>
      <c r="H47" s="104">
        <v>1060.9</v>
      </c>
      <c r="I47" s="104">
        <v>1772.76</v>
      </c>
      <c r="J47" s="106">
        <v>1577.95</v>
      </c>
      <c r="K47" s="97"/>
      <c r="L47" s="104">
        <v>8101.86</v>
      </c>
      <c r="M47" s="104">
        <v>5378.16</v>
      </c>
      <c r="N47" s="104">
        <v>0</v>
      </c>
      <c r="O47" s="182">
        <v>0</v>
      </c>
      <c r="P47" s="186"/>
      <c r="Q47" s="184">
        <v>7200</v>
      </c>
      <c r="R47" s="178">
        <f>IF(T47=0,0,(L47-T47)/T47)</f>
        <v>0.03869999999999996</v>
      </c>
      <c r="S47" s="100">
        <f>7800*1.02</f>
        <v>7956</v>
      </c>
      <c r="T47" s="109">
        <v>7800</v>
      </c>
      <c r="U47" s="13"/>
      <c r="V47" s="13"/>
      <c r="W47" s="13"/>
      <c r="X47" s="13"/>
      <c r="Y47" s="185">
        <v>0</v>
      </c>
      <c r="Z47" s="104">
        <v>0</v>
      </c>
      <c r="AA47" s="104">
        <v>0</v>
      </c>
      <c r="AB47" t="s" s="143">
        <v>90</v>
      </c>
      <c r="AC47" s="135"/>
      <c r="AD47" s="13"/>
    </row>
    <row r="48" ht="15.75" customHeight="1">
      <c r="A48" t="s" s="102">
        <v>91</v>
      </c>
      <c r="B48" t="s" s="103">
        <v>92</v>
      </c>
      <c r="C48" s="104">
        <v>465</v>
      </c>
      <c r="D48" s="104">
        <v>415</v>
      </c>
      <c r="E48" s="105">
        <v>850</v>
      </c>
      <c r="F48" s="105">
        <v>696.9</v>
      </c>
      <c r="G48" s="104">
        <v>487.5</v>
      </c>
      <c r="H48" s="104">
        <v>385</v>
      </c>
      <c r="I48" s="104">
        <v>325</v>
      </c>
      <c r="J48" s="106">
        <v>450</v>
      </c>
      <c r="K48" s="97"/>
      <c r="L48" s="104">
        <v>982.5</v>
      </c>
      <c r="M48" s="104">
        <v>572</v>
      </c>
      <c r="N48" s="104">
        <v>538.2</v>
      </c>
      <c r="O48" s="182">
        <v>0</v>
      </c>
      <c r="P48" t="s" s="188">
        <v>93</v>
      </c>
      <c r="Q48" s="184">
        <v>487.5</v>
      </c>
      <c r="R48" s="178">
        <f>IF(T48=0,0,(L48-T48)/T48)</f>
        <v>2.0703125</v>
      </c>
      <c r="S48" s="100">
        <v>500</v>
      </c>
      <c r="T48" s="109">
        <v>320</v>
      </c>
      <c r="U48" s="13"/>
      <c r="V48" s="13"/>
      <c r="W48" s="13"/>
      <c r="X48" s="13"/>
      <c r="Y48" s="185">
        <v>600</v>
      </c>
      <c r="Z48" s="104">
        <v>0</v>
      </c>
      <c r="AA48" s="104">
        <v>0</v>
      </c>
      <c r="AB48" s="144">
        <f>(AA48-Y48)/Y48</f>
        <v>-1</v>
      </c>
      <c r="AC48" s="13"/>
      <c r="AD48" s="13"/>
    </row>
    <row r="49" ht="16.5" customHeight="1">
      <c r="A49" t="s" s="102">
        <v>94</v>
      </c>
      <c r="B49" t="s" s="103">
        <v>95</v>
      </c>
      <c r="C49" s="104">
        <v>6441.12</v>
      </c>
      <c r="D49" s="104">
        <v>6441.12</v>
      </c>
      <c r="E49" s="105">
        <v>6570</v>
      </c>
      <c r="F49" s="105">
        <v>6131.7</v>
      </c>
      <c r="G49" s="104">
        <v>6441.12</v>
      </c>
      <c r="H49" s="104">
        <v>6252.96</v>
      </c>
      <c r="I49" s="104">
        <v>6192.32</v>
      </c>
      <c r="J49" s="106">
        <v>6071.04</v>
      </c>
      <c r="K49" s="97"/>
      <c r="L49" s="104">
        <v>6690.12</v>
      </c>
      <c r="M49" s="104">
        <v>6829.38</v>
      </c>
      <c r="N49" s="104">
        <v>8759.959999999999</v>
      </c>
      <c r="O49" s="182">
        <v>10134.96</v>
      </c>
      <c r="P49" s="189">
        <f>P46-P43</f>
        <v>-75298.62</v>
      </c>
      <c r="Q49" s="184">
        <v>6441.12</v>
      </c>
      <c r="R49" s="178">
        <f>IF(T49=0,0,(L49-T49)/T49)</f>
        <v>0.03867722403353515</v>
      </c>
      <c r="S49" s="100">
        <f>6441*1.02+0.18</f>
        <v>6570</v>
      </c>
      <c r="T49" s="109">
        <v>6441</v>
      </c>
      <c r="U49" s="13"/>
      <c r="V49" s="13"/>
      <c r="W49" s="13"/>
      <c r="X49" s="13"/>
      <c r="Y49" s="185">
        <v>10135</v>
      </c>
      <c r="Z49" s="104">
        <v>10134.96</v>
      </c>
      <c r="AA49" s="104">
        <f>Y49</f>
        <v>10135</v>
      </c>
      <c r="AB49" s="144">
        <f>(AA49-Y49)/Y49</f>
        <v>0</v>
      </c>
      <c r="AC49" s="13"/>
      <c r="AD49" s="13"/>
    </row>
    <row r="50" ht="15.75" customHeight="1">
      <c r="A50" t="s" s="102">
        <v>96</v>
      </c>
      <c r="B50" t="s" s="103">
        <v>97</v>
      </c>
      <c r="C50" s="119">
        <v>0</v>
      </c>
      <c r="D50" s="119">
        <v>4436.25</v>
      </c>
      <c r="E50" s="120">
        <v>2972.05</v>
      </c>
      <c r="F50" s="120">
        <v>2864.2</v>
      </c>
      <c r="G50" s="119">
        <v>0</v>
      </c>
      <c r="H50" s="119">
        <v>0</v>
      </c>
      <c r="I50" s="119">
        <v>0</v>
      </c>
      <c r="J50" s="121">
        <v>0</v>
      </c>
      <c r="K50" s="97"/>
      <c r="L50" s="119">
        <v>3152.99</v>
      </c>
      <c r="M50" s="119">
        <v>2700.96</v>
      </c>
      <c r="N50" s="119">
        <v>1668.75</v>
      </c>
      <c r="O50" s="190">
        <v>1027.5</v>
      </c>
      <c r="P50" t="s" s="191">
        <v>98</v>
      </c>
      <c r="Q50" s="192">
        <v>0</v>
      </c>
      <c r="R50" s="178">
        <f>IF(T50=0,0,(L50-T50)/T50)</f>
        <v>-0.7898006666666667</v>
      </c>
      <c r="S50" s="123">
        <v>6000</v>
      </c>
      <c r="T50" s="124">
        <v>15000</v>
      </c>
      <c r="U50" s="13"/>
      <c r="V50" s="13"/>
      <c r="W50" s="13"/>
      <c r="X50" s="13"/>
      <c r="Y50" s="193">
        <v>3120</v>
      </c>
      <c r="Z50" s="119">
        <v>1458.75</v>
      </c>
      <c r="AA50" s="119">
        <f>Y50/2</f>
        <v>1560</v>
      </c>
      <c r="AB50" s="144">
        <f>(AA50-Y50)/Y50</f>
        <v>-0.5</v>
      </c>
      <c r="AC50" s="61">
        <v>2</v>
      </c>
      <c r="AD50" s="13"/>
    </row>
    <row r="51" ht="15.75" customHeight="1">
      <c r="A51" s="102"/>
      <c r="B51" t="s" s="125">
        <v>99</v>
      </c>
      <c r="C51" s="126">
        <f>SUM(C39:C49)</f>
        <v>147209.58</v>
      </c>
      <c r="D51" s="126">
        <f>SUM(D39:D49)</f>
        <v>147753.39</v>
      </c>
      <c r="E51" s="127">
        <f>SUM(E39:E50)</f>
        <v>134317.85</v>
      </c>
      <c r="F51" s="127">
        <f>SUM(F39:F49)</f>
        <v>126446.98</v>
      </c>
      <c r="G51" s="126">
        <f>SUM(G39:G49)</f>
        <v>145465.86</v>
      </c>
      <c r="H51" s="126">
        <f>SUM(H39:H49)</f>
        <v>131577.02</v>
      </c>
      <c r="I51" s="126">
        <f>SUM(I39:I49)</f>
        <v>127204</v>
      </c>
      <c r="J51" s="128">
        <f>SUM(J39:J49)</f>
        <v>121826.53</v>
      </c>
      <c r="K51" s="129"/>
      <c r="L51" s="127">
        <f>SUM(L39:L50)</f>
        <v>144058.7</v>
      </c>
      <c r="M51" s="127">
        <f>SUM(M39:M50)</f>
        <v>139239.36</v>
      </c>
      <c r="N51" s="127">
        <f>SUM(N39:N50)</f>
        <v>145445.7</v>
      </c>
      <c r="O51" s="127">
        <f>SUM(O39:O50)</f>
        <v>143622.51</v>
      </c>
      <c r="P51" s="107"/>
      <c r="Q51" s="131">
        <f>SUM(Q39:Q49)</f>
        <v>145465.86</v>
      </c>
      <c r="R51" s="91"/>
      <c r="S51" s="132">
        <f>SUM(S39:S49)</f>
        <v>149427</v>
      </c>
      <c r="T51" s="133">
        <f>SUM(T39:T49)</f>
        <v>146262</v>
      </c>
      <c r="U51" s="13"/>
      <c r="V51" s="13"/>
      <c r="W51" s="13"/>
      <c r="X51" s="13"/>
      <c r="Y51" s="127">
        <f>SUM(Y39:Y50)</f>
        <v>146303</v>
      </c>
      <c r="Z51" s="127">
        <f>SUM(Z39:Z50)</f>
        <v>133214.16</v>
      </c>
      <c r="AA51" s="127">
        <f>SUM(AA39:AA50)</f>
        <v>108051</v>
      </c>
      <c r="AB51" s="144">
        <f>(AA51-Y51)/Y51</f>
        <v>-0.2614573863830543</v>
      </c>
      <c r="AC51" s="13"/>
      <c r="AD51" s="13"/>
    </row>
    <row r="52" ht="10.5" customHeight="1">
      <c r="A52" s="102"/>
      <c r="B52" s="135"/>
      <c r="C52" s="136"/>
      <c r="D52" s="136"/>
      <c r="E52" s="137"/>
      <c r="F52" s="137"/>
      <c r="G52" s="136"/>
      <c r="H52" s="136"/>
      <c r="I52" s="136"/>
      <c r="J52" s="138"/>
      <c r="K52" s="97"/>
      <c r="L52" s="136"/>
      <c r="M52" s="136"/>
      <c r="N52" s="136"/>
      <c r="O52" s="136"/>
      <c r="P52" s="107"/>
      <c r="Q52" s="194"/>
      <c r="R52" s="91"/>
      <c r="S52" s="140"/>
      <c r="T52" s="141"/>
      <c r="U52" s="13"/>
      <c r="V52" s="13"/>
      <c r="W52" s="13"/>
      <c r="X52" s="13"/>
      <c r="Y52" s="136"/>
      <c r="Z52" s="136"/>
      <c r="AA52" s="136"/>
      <c r="AB52" s="144"/>
      <c r="AC52" s="13"/>
      <c r="AD52" s="13"/>
    </row>
    <row r="53" ht="15.75" customHeight="1">
      <c r="A53" s="102"/>
      <c r="B53" t="s" s="125">
        <v>100</v>
      </c>
      <c r="C53" s="104"/>
      <c r="D53" s="104"/>
      <c r="E53" s="105"/>
      <c r="F53" s="105"/>
      <c r="G53" s="104"/>
      <c r="H53" s="104"/>
      <c r="I53" s="104"/>
      <c r="J53" s="106"/>
      <c r="K53" s="97"/>
      <c r="L53" s="104"/>
      <c r="M53" s="104"/>
      <c r="N53" s="104"/>
      <c r="O53" s="104"/>
      <c r="P53" s="107"/>
      <c r="Q53" s="13"/>
      <c r="R53" s="91"/>
      <c r="S53" s="100"/>
      <c r="T53" s="109"/>
      <c r="U53" s="13"/>
      <c r="V53" s="13"/>
      <c r="W53" s="13"/>
      <c r="X53" s="13"/>
      <c r="Y53" s="104"/>
      <c r="Z53" s="104"/>
      <c r="AA53" s="104"/>
      <c r="AB53" s="144"/>
      <c r="AC53" s="13"/>
      <c r="AD53" s="13"/>
    </row>
    <row r="54" ht="15.75" customHeight="1">
      <c r="A54" t="s" s="102">
        <v>101</v>
      </c>
      <c r="B54" t="s" s="103">
        <v>102</v>
      </c>
      <c r="C54" s="104">
        <v>4524.4</v>
      </c>
      <c r="D54" s="104">
        <v>4655.12</v>
      </c>
      <c r="E54" s="105">
        <v>4641.17</v>
      </c>
      <c r="F54" s="105">
        <v>4321.15</v>
      </c>
      <c r="G54" s="104">
        <v>4328.83</v>
      </c>
      <c r="H54" s="104">
        <v>3764.03</v>
      </c>
      <c r="I54" s="104">
        <v>3620.83</v>
      </c>
      <c r="J54" s="106">
        <v>3593.94</v>
      </c>
      <c r="K54" s="97"/>
      <c r="L54" s="104">
        <v>4736.64</v>
      </c>
      <c r="M54" s="104">
        <v>4603.29</v>
      </c>
      <c r="N54" s="104">
        <v>4687.91</v>
      </c>
      <c r="O54" s="104">
        <v>4797.79</v>
      </c>
      <c r="P54" s="107"/>
      <c r="Q54" s="107">
        <v>4328.83</v>
      </c>
      <c r="R54" s="178">
        <f>IF(T54=0,0,(L54-T54)/T54)</f>
        <v>0.08392808596292266</v>
      </c>
      <c r="S54" s="100">
        <f>SUM(S43:S49)*0.062+0.65</f>
        <v>4467.998</v>
      </c>
      <c r="T54" s="109">
        <f>SUM(T43:T49)*0.062</f>
        <v>4369.884</v>
      </c>
      <c r="U54" s="13"/>
      <c r="V54" s="13"/>
      <c r="W54" s="13"/>
      <c r="X54" s="13"/>
      <c r="Y54" s="104">
        <f>(Y43+Y44+Y45+Y46+Y49+Y50)*0.062</f>
        <v>4957.086</v>
      </c>
      <c r="Z54" s="104">
        <v>4194.53</v>
      </c>
      <c r="AA54" s="104">
        <f>(AA43+AA44+AA45+AA46+AA49+AA50)*0.062</f>
        <v>2622.662</v>
      </c>
      <c r="AB54" s="144">
        <f>(AA54-Y54)/Y54</f>
        <v>-0.4709266694182833</v>
      </c>
      <c r="AC54" s="13"/>
      <c r="AD54" s="13"/>
    </row>
    <row r="55" ht="15.75" customHeight="1">
      <c r="A55" t="s" s="102">
        <v>103</v>
      </c>
      <c r="B55" t="s" s="103">
        <v>104</v>
      </c>
      <c r="C55" s="104">
        <v>1028.37</v>
      </c>
      <c r="D55" s="104">
        <v>1088.64</v>
      </c>
      <c r="E55" s="105">
        <v>1085.33</v>
      </c>
      <c r="F55" s="105">
        <v>1010.7</v>
      </c>
      <c r="G55" s="104">
        <v>1012.41</v>
      </c>
      <c r="H55" s="104">
        <v>880.3099999999999</v>
      </c>
      <c r="I55" s="104">
        <v>846.8200000000001</v>
      </c>
      <c r="J55" s="106">
        <v>784.37</v>
      </c>
      <c r="K55" s="97"/>
      <c r="L55" s="104">
        <v>1107.68</v>
      </c>
      <c r="M55" s="104">
        <v>1076.52</v>
      </c>
      <c r="N55" s="104">
        <v>1096.38</v>
      </c>
      <c r="O55" s="104">
        <v>1122.1</v>
      </c>
      <c r="P55" s="165"/>
      <c r="Q55" s="107">
        <v>1012.41</v>
      </c>
      <c r="R55" s="178">
        <f>IF(T55=0,0,(L55-T55)/T55)</f>
        <v>0.083847282113604</v>
      </c>
      <c r="S55" s="100">
        <f>SUM(S43:S49)*0.0145+0.22</f>
        <v>1045.003</v>
      </c>
      <c r="T55" s="109">
        <f>SUM(T43:T49)*0.0145</f>
        <v>1021.989</v>
      </c>
      <c r="U55" s="13"/>
      <c r="V55" s="13"/>
      <c r="W55" s="13"/>
      <c r="X55" s="13"/>
      <c r="Y55" s="104">
        <f>(Y43+Y44+Y45+Y46+Y49+Y50)*0.0145</f>
        <v>1159.3185</v>
      </c>
      <c r="Z55" s="104">
        <v>980.98</v>
      </c>
      <c r="AA55" s="104">
        <f>(AA43+AA44+AA45+AA46+AA49+AA50)*0.0145</f>
        <v>613.3645</v>
      </c>
      <c r="AB55" s="144">
        <f>(AA55-Y55)/Y55</f>
        <v>-0.4709266694182833</v>
      </c>
      <c r="AC55" s="13"/>
      <c r="AD55" s="13"/>
    </row>
    <row r="56" ht="15.75" customHeight="1">
      <c r="A56" t="s" s="102">
        <v>105</v>
      </c>
      <c r="B56" t="s" s="103">
        <v>106</v>
      </c>
      <c r="C56" s="104">
        <v>5503.92</v>
      </c>
      <c r="D56" s="104">
        <v>5503.92</v>
      </c>
      <c r="E56" s="105">
        <v>935.6799999999999</v>
      </c>
      <c r="F56" s="105">
        <v>0</v>
      </c>
      <c r="G56" s="104">
        <v>5503.92</v>
      </c>
      <c r="H56" s="104">
        <v>5119.92</v>
      </c>
      <c r="I56" s="104">
        <v>4970.88</v>
      </c>
      <c r="J56" s="106">
        <v>4826.16</v>
      </c>
      <c r="K56" s="97"/>
      <c r="L56" s="104">
        <v>0</v>
      </c>
      <c r="M56" s="104">
        <v>0</v>
      </c>
      <c r="N56" s="104">
        <v>0</v>
      </c>
      <c r="O56" s="104">
        <v>0</v>
      </c>
      <c r="P56" s="195"/>
      <c r="Q56" s="196">
        <v>5503.92</v>
      </c>
      <c r="R56" s="178">
        <f>IF(T56=0,0,(L56-T56)/T56)</f>
        <v>-1</v>
      </c>
      <c r="S56" s="100">
        <f>0.1125*(S39)-0.09</f>
        <v>5613.9975</v>
      </c>
      <c r="T56" s="109">
        <f>0.1125*(T39)</f>
        <v>5503.95</v>
      </c>
      <c r="U56" s="13"/>
      <c r="V56" s="13"/>
      <c r="W56" s="13"/>
      <c r="X56" s="13"/>
      <c r="Y56" s="104">
        <v>0</v>
      </c>
      <c r="Z56" s="104">
        <v>0</v>
      </c>
      <c r="AA56" s="104">
        <v>0</v>
      </c>
      <c r="AB56" t="s" s="143">
        <v>90</v>
      </c>
      <c r="AC56" s="13"/>
      <c r="AD56" s="13"/>
    </row>
    <row r="57" ht="15.75" customHeight="1">
      <c r="A57" t="s" s="102">
        <v>107</v>
      </c>
      <c r="B57" t="s" s="103">
        <v>108</v>
      </c>
      <c r="C57" s="110">
        <v>14534.28</v>
      </c>
      <c r="D57" s="110">
        <v>14994.78</v>
      </c>
      <c r="E57" s="111">
        <v>10915.38</v>
      </c>
      <c r="F57" s="111">
        <v>8505</v>
      </c>
      <c r="G57" s="112">
        <f>(G39+G40+(G39*0.1125))*0.18</f>
        <v>14534.2782</v>
      </c>
      <c r="H57" s="110">
        <v>13520.4</v>
      </c>
      <c r="I57" s="110">
        <v>13126.44</v>
      </c>
      <c r="J57" s="110">
        <v>12868.8</v>
      </c>
      <c r="K57" s="113"/>
      <c r="L57" s="110">
        <v>11340</v>
      </c>
      <c r="M57" s="110">
        <v>8366.91</v>
      </c>
      <c r="N57" s="110">
        <v>14670</v>
      </c>
      <c r="O57" s="110">
        <v>11746.83</v>
      </c>
      <c r="P57" s="197"/>
      <c r="Q57" s="115">
        <f>(Q39+Q40+(Q39*0.1125))*0.18</f>
        <v>14534.2782</v>
      </c>
      <c r="R57" s="144">
        <f>IF(T57=0,0,(L57-T57)/T57)</f>
        <v>-0.2197751094636944</v>
      </c>
      <c r="S57" s="117">
        <f>(S39+S40+(S39*0.1125))*0.18</f>
        <v>14825.17575</v>
      </c>
      <c r="T57" s="110">
        <f>(T39+T40+(T39*0.1125))*0.18</f>
        <v>14534.271</v>
      </c>
      <c r="U57" s="13"/>
      <c r="V57" s="13"/>
      <c r="W57" s="13"/>
      <c r="X57" s="13"/>
      <c r="Y57" s="110">
        <f>(Y39+Y40)*0.18</f>
        <v>11700</v>
      </c>
      <c r="Z57" s="110">
        <v>11700</v>
      </c>
      <c r="AA57" s="110">
        <f>(AA39+AA40)*0.18</f>
        <v>11700</v>
      </c>
      <c r="AB57" s="198">
        <f>(AA57-Y57)/Y57</f>
        <v>0</v>
      </c>
      <c r="AC57" s="61">
        <v>3</v>
      </c>
      <c r="AD57" s="13"/>
    </row>
    <row r="58" ht="15.75" customHeight="1">
      <c r="A58" t="s" s="102">
        <v>109</v>
      </c>
      <c r="B58" t="s" s="103">
        <v>110</v>
      </c>
      <c r="C58" s="104">
        <v>3766.32</v>
      </c>
      <c r="D58" s="104">
        <v>3216.72</v>
      </c>
      <c r="E58" s="105">
        <v>3305.82</v>
      </c>
      <c r="F58" s="105">
        <v>3028.39</v>
      </c>
      <c r="G58" s="104">
        <v>3766.32</v>
      </c>
      <c r="H58" s="104">
        <v>3525.36</v>
      </c>
      <c r="I58" s="104">
        <v>3552.3</v>
      </c>
      <c r="J58" s="106">
        <v>2282.99</v>
      </c>
      <c r="K58" s="97"/>
      <c r="L58" s="104">
        <v>3824.04</v>
      </c>
      <c r="M58" s="104">
        <v>4416.84</v>
      </c>
      <c r="N58" s="104">
        <v>4341.32</v>
      </c>
      <c r="O58" s="104">
        <v>3558.6</v>
      </c>
      <c r="P58" s="107"/>
      <c r="Q58" s="107">
        <v>3766.32</v>
      </c>
      <c r="R58" s="178">
        <f>IF(T58=0,0,(L58-T58)/T58)</f>
        <v>0.009871496252634277</v>
      </c>
      <c r="S58" s="100">
        <f>0.09*(S46+S43)+0.56</f>
        <v>3863</v>
      </c>
      <c r="T58" s="109">
        <f>0.09*(T46+T43)</f>
        <v>3786.66</v>
      </c>
      <c r="U58" s="13"/>
      <c r="V58" s="13"/>
      <c r="W58" s="13"/>
      <c r="X58" s="13"/>
      <c r="Y58" s="104">
        <f>(Y46+Y43)*0.09</f>
        <v>4125.78</v>
      </c>
      <c r="Z58" s="104">
        <v>3537.11</v>
      </c>
      <c r="AA58" s="199">
        <v>0</v>
      </c>
      <c r="AB58" s="144">
        <f>(AA58-Y58)/Y58</f>
        <v>-1</v>
      </c>
      <c r="AC58" s="13"/>
      <c r="AD58" s="13"/>
    </row>
    <row r="59" ht="15.75" customHeight="1">
      <c r="A59" t="s" s="102">
        <v>111</v>
      </c>
      <c r="B59" t="s" s="103">
        <v>112</v>
      </c>
      <c r="C59" s="104">
        <v>17650.2</v>
      </c>
      <c r="D59" s="104">
        <v>18507.2</v>
      </c>
      <c r="E59" s="105">
        <v>1763.9</v>
      </c>
      <c r="F59" s="105">
        <v>78.09999999999999</v>
      </c>
      <c r="G59" s="104">
        <v>17009.2</v>
      </c>
      <c r="H59" s="104">
        <v>15997.2</v>
      </c>
      <c r="I59" s="104">
        <v>13901.2</v>
      </c>
      <c r="J59" s="106">
        <v>13946</v>
      </c>
      <c r="K59" s="97"/>
      <c r="L59" s="104">
        <v>78.09999999999999</v>
      </c>
      <c r="M59" s="104">
        <v>16857.55</v>
      </c>
      <c r="N59" s="104">
        <v>20358.75</v>
      </c>
      <c r="O59" s="104">
        <v>83.90000000000001</v>
      </c>
      <c r="P59" t="s" s="143">
        <v>113</v>
      </c>
      <c r="Q59" s="107">
        <v>17009.2</v>
      </c>
      <c r="R59" s="178">
        <f>IF(T59=0,0,(L59-T59)/T59)</f>
        <v>-0.9955361225422955</v>
      </c>
      <c r="S59" s="100">
        <v>18500</v>
      </c>
      <c r="T59" s="109">
        <v>17496</v>
      </c>
      <c r="U59" s="13"/>
      <c r="V59" s="13"/>
      <c r="W59" s="13"/>
      <c r="X59" s="13"/>
      <c r="Y59" s="104">
        <v>18700</v>
      </c>
      <c r="Z59" s="104">
        <v>17212.3</v>
      </c>
      <c r="AA59" s="104">
        <v>17212</v>
      </c>
      <c r="AB59" s="144">
        <f>(AA59-Y59)/Y59</f>
        <v>-0.07957219251336899</v>
      </c>
      <c r="AC59" s="61">
        <v>4</v>
      </c>
      <c r="AD59" s="13"/>
    </row>
    <row r="60" ht="15.75" customHeight="1">
      <c r="A60" t="s" s="102">
        <v>114</v>
      </c>
      <c r="B60" t="s" s="103">
        <v>115</v>
      </c>
      <c r="C60" s="104">
        <v>9038</v>
      </c>
      <c r="D60" s="104">
        <v>9639</v>
      </c>
      <c r="E60" s="105">
        <v>8548</v>
      </c>
      <c r="F60" s="105">
        <v>9878</v>
      </c>
      <c r="G60" s="104">
        <v>8581</v>
      </c>
      <c r="H60" s="104">
        <v>7050.2</v>
      </c>
      <c r="I60" s="104">
        <v>6724.8</v>
      </c>
      <c r="J60" s="106">
        <v>6230.4</v>
      </c>
      <c r="K60" s="97"/>
      <c r="L60" s="104">
        <v>9878</v>
      </c>
      <c r="M60" s="104">
        <v>8986</v>
      </c>
      <c r="N60" s="104">
        <v>6712.2</v>
      </c>
      <c r="O60" s="104">
        <v>9390.07</v>
      </c>
      <c r="P60" t="s" s="143">
        <v>116</v>
      </c>
      <c r="Q60" s="107">
        <v>8581</v>
      </c>
      <c r="R60" s="178">
        <f>IF(T60=0,0,(L60-T60)/T60)</f>
        <v>0.05534188034188034</v>
      </c>
      <c r="S60" s="100">
        <v>9750</v>
      </c>
      <c r="T60" s="109">
        <v>9360</v>
      </c>
      <c r="U60" s="13"/>
      <c r="V60" s="13"/>
      <c r="W60" s="13"/>
      <c r="X60" s="13"/>
      <c r="Y60" s="104">
        <v>9878</v>
      </c>
      <c r="Z60" s="104">
        <v>4705.83</v>
      </c>
      <c r="AA60" s="104">
        <v>0</v>
      </c>
      <c r="AB60" s="144">
        <f>(AA60-Y60)/Y60</f>
        <v>-1</v>
      </c>
      <c r="AC60" s="13"/>
      <c r="AD60" s="13"/>
    </row>
    <row r="61" ht="15.75" customHeight="1">
      <c r="A61" t="s" s="102">
        <v>117</v>
      </c>
      <c r="B61" t="s" s="103">
        <v>118</v>
      </c>
      <c r="C61" s="104">
        <v>251</v>
      </c>
      <c r="D61" s="104">
        <v>154.63</v>
      </c>
      <c r="E61" s="105">
        <v>0</v>
      </c>
      <c r="F61" s="105">
        <v>130</v>
      </c>
      <c r="G61" s="104">
        <v>180</v>
      </c>
      <c r="H61" s="104">
        <v>356.75</v>
      </c>
      <c r="I61" s="104">
        <v>697.75</v>
      </c>
      <c r="J61" s="106">
        <v>535</v>
      </c>
      <c r="K61" s="97"/>
      <c r="L61" s="104">
        <v>130</v>
      </c>
      <c r="M61" s="104">
        <v>190</v>
      </c>
      <c r="N61" s="104">
        <v>684.4</v>
      </c>
      <c r="O61" s="104">
        <v>175</v>
      </c>
      <c r="P61" s="107"/>
      <c r="Q61" s="107">
        <v>180</v>
      </c>
      <c r="R61" s="178">
        <f>IF(T61=0,0,(L61-T61)/T61)</f>
        <v>-0.87</v>
      </c>
      <c r="S61" s="100">
        <v>500</v>
      </c>
      <c r="T61" s="109">
        <v>1000</v>
      </c>
      <c r="U61" s="13"/>
      <c r="V61" s="13"/>
      <c r="W61" s="13"/>
      <c r="X61" s="13"/>
      <c r="Y61" s="104">
        <v>600</v>
      </c>
      <c r="Z61" s="104">
        <v>0</v>
      </c>
      <c r="AA61" s="199">
        <v>0</v>
      </c>
      <c r="AB61" s="144">
        <f>(AA61-Y61)/Y61</f>
        <v>-1</v>
      </c>
      <c r="AC61" s="13"/>
      <c r="AD61" s="13"/>
    </row>
    <row r="62" ht="15.75" customHeight="1">
      <c r="A62" t="s" s="102">
        <v>119</v>
      </c>
      <c r="B62" t="s" s="103">
        <v>120</v>
      </c>
      <c r="C62" s="104">
        <v>630</v>
      </c>
      <c r="D62" s="104">
        <v>400</v>
      </c>
      <c r="E62" s="105">
        <v>175</v>
      </c>
      <c r="F62" s="105">
        <v>25</v>
      </c>
      <c r="G62" s="104">
        <v>610</v>
      </c>
      <c r="H62" s="104">
        <v>130.16</v>
      </c>
      <c r="I62" s="104">
        <v>1410.23</v>
      </c>
      <c r="J62" s="106">
        <v>502</v>
      </c>
      <c r="K62" s="97"/>
      <c r="L62" s="104">
        <v>25</v>
      </c>
      <c r="M62" s="104">
        <v>85</v>
      </c>
      <c r="N62" s="104">
        <v>89</v>
      </c>
      <c r="O62" s="104">
        <v>194.95</v>
      </c>
      <c r="P62" s="107"/>
      <c r="Q62" s="107">
        <v>610</v>
      </c>
      <c r="R62" s="178">
        <f>IF(T62=0,0,(L62-T62)/T62)</f>
        <v>-0.975</v>
      </c>
      <c r="S62" s="100">
        <v>500</v>
      </c>
      <c r="T62" s="109">
        <v>1000</v>
      </c>
      <c r="U62" s="13"/>
      <c r="V62" s="13"/>
      <c r="W62" s="13"/>
      <c r="X62" s="13"/>
      <c r="Y62" s="104">
        <v>300</v>
      </c>
      <c r="Z62" s="104">
        <v>0</v>
      </c>
      <c r="AA62" s="199">
        <v>0</v>
      </c>
      <c r="AB62" s="144">
        <f>(AA62-Y62)/Y62</f>
        <v>-1</v>
      </c>
      <c r="AC62" s="13"/>
      <c r="AD62" s="13"/>
    </row>
    <row r="63" ht="15.75" customHeight="1">
      <c r="A63" t="s" s="102">
        <v>121</v>
      </c>
      <c r="B63" t="s" s="103">
        <v>122</v>
      </c>
      <c r="C63" s="104">
        <v>1803</v>
      </c>
      <c r="D63" s="104">
        <v>0</v>
      </c>
      <c r="E63" s="105">
        <v>2299</v>
      </c>
      <c r="F63" s="105">
        <v>1372</v>
      </c>
      <c r="G63" s="104">
        <v>3363</v>
      </c>
      <c r="H63" s="104">
        <v>19</v>
      </c>
      <c r="I63" s="104">
        <v>2436</v>
      </c>
      <c r="J63" s="106">
        <v>1140</v>
      </c>
      <c r="K63" s="97"/>
      <c r="L63" s="104">
        <v>1372</v>
      </c>
      <c r="M63" s="104">
        <v>1670</v>
      </c>
      <c r="N63" s="104">
        <v>2246</v>
      </c>
      <c r="O63" s="104">
        <v>2420</v>
      </c>
      <c r="P63" t="s" s="143">
        <v>123</v>
      </c>
      <c r="Q63" s="107">
        <v>3363</v>
      </c>
      <c r="R63" s="178">
        <f>IF(T63=0,0,(L63-T63)/T63)</f>
        <v>-0.216</v>
      </c>
      <c r="S63" s="100">
        <v>1850</v>
      </c>
      <c r="T63" s="109">
        <v>1750</v>
      </c>
      <c r="U63" s="13"/>
      <c r="V63" s="13"/>
      <c r="W63" s="13"/>
      <c r="X63" s="13"/>
      <c r="Y63" s="104">
        <f>(Y43+Y44+Y45+Y46+Y49+Y50)*0.03</f>
        <v>2398.59</v>
      </c>
      <c r="Z63" s="104">
        <v>5158</v>
      </c>
      <c r="AA63" s="104">
        <v>0</v>
      </c>
      <c r="AB63" s="144">
        <f>(AA63-Y63)/Y63</f>
        <v>-1</v>
      </c>
      <c r="AC63" t="s" s="143">
        <v>124</v>
      </c>
      <c r="AD63" s="13"/>
    </row>
    <row r="64" ht="14.25" customHeight="1">
      <c r="A64" t="s" s="102">
        <v>125</v>
      </c>
      <c r="B64" t="s" s="103">
        <v>126</v>
      </c>
      <c r="C64" s="104">
        <v>0</v>
      </c>
      <c r="D64" s="104">
        <v>0</v>
      </c>
      <c r="E64" s="105">
        <v>155</v>
      </c>
      <c r="F64" s="105">
        <v>382.28</v>
      </c>
      <c r="G64" s="104">
        <v>0</v>
      </c>
      <c r="H64" s="104"/>
      <c r="I64" s="104"/>
      <c r="J64" s="106"/>
      <c r="K64" s="97"/>
      <c r="L64" s="104">
        <v>382.28</v>
      </c>
      <c r="M64" s="104">
        <v>8374</v>
      </c>
      <c r="N64" s="104">
        <v>0</v>
      </c>
      <c r="O64" s="104">
        <v>2114.52</v>
      </c>
      <c r="P64" s="107"/>
      <c r="Q64" s="107"/>
      <c r="R64" s="178">
        <f>IF(T64=0,0,(L64-T64)/T64)</f>
        <v>0</v>
      </c>
      <c r="S64" s="100">
        <v>0</v>
      </c>
      <c r="T64" s="109">
        <v>0</v>
      </c>
      <c r="U64" s="13"/>
      <c r="V64" s="13"/>
      <c r="W64" s="13"/>
      <c r="X64" s="13"/>
      <c r="Y64" s="104">
        <v>0</v>
      </c>
      <c r="Z64" s="104">
        <v>0</v>
      </c>
      <c r="AA64" s="104">
        <v>0</v>
      </c>
      <c r="AB64" t="s" s="143">
        <v>90</v>
      </c>
      <c r="AC64" s="13"/>
      <c r="AD64" s="13"/>
    </row>
    <row r="65" ht="15" customHeight="1">
      <c r="A65" t="s" s="102">
        <v>127</v>
      </c>
      <c r="B65" t="s" s="103">
        <v>128</v>
      </c>
      <c r="C65" s="104"/>
      <c r="D65" t="s" s="143">
        <v>129</v>
      </c>
      <c r="E65" t="s" s="143">
        <v>129</v>
      </c>
      <c r="F65" t="s" s="143">
        <v>129</v>
      </c>
      <c r="G65" s="104"/>
      <c r="H65" s="104"/>
      <c r="I65" s="104"/>
      <c r="J65" s="106"/>
      <c r="K65" t="s" s="200">
        <v>129</v>
      </c>
      <c r="L65" t="s" s="143">
        <v>129</v>
      </c>
      <c r="M65" s="104">
        <v>16631.64</v>
      </c>
      <c r="N65" s="104">
        <v>0</v>
      </c>
      <c r="O65" s="104">
        <v>180</v>
      </c>
      <c r="P65" t="s" s="143">
        <v>130</v>
      </c>
      <c r="Q65" s="13"/>
      <c r="R65" s="91"/>
      <c r="S65" s="100"/>
      <c r="T65" s="109"/>
      <c r="U65" s="13"/>
      <c r="V65" s="13"/>
      <c r="W65" s="13"/>
      <c r="X65" s="13"/>
      <c r="Y65" s="104">
        <v>0</v>
      </c>
      <c r="Z65" s="104">
        <v>4127.71</v>
      </c>
      <c r="AA65" s="104">
        <v>0</v>
      </c>
      <c r="AB65" t="s" s="143">
        <v>90</v>
      </c>
      <c r="AC65" s="13"/>
      <c r="AD65" s="13"/>
    </row>
    <row r="66" ht="15" customHeight="1">
      <c r="A66" t="s" s="102">
        <v>131</v>
      </c>
      <c r="B66" t="s" s="103">
        <v>132</v>
      </c>
      <c r="C66" s="119"/>
      <c r="D66" t="s" s="201">
        <v>129</v>
      </c>
      <c r="E66" t="s" s="201">
        <v>129</v>
      </c>
      <c r="F66" t="s" s="201">
        <v>129</v>
      </c>
      <c r="G66" s="119"/>
      <c r="H66" s="119"/>
      <c r="I66" s="119"/>
      <c r="J66" s="121"/>
      <c r="K66" t="s" s="200">
        <v>129</v>
      </c>
      <c r="L66" t="s" s="201">
        <v>129</v>
      </c>
      <c r="M66" s="119">
        <v>60</v>
      </c>
      <c r="N66" s="119">
        <v>0</v>
      </c>
      <c r="O66" s="119">
        <v>0</v>
      </c>
      <c r="P66" t="s" s="143">
        <v>130</v>
      </c>
      <c r="Q66" s="122"/>
      <c r="R66" s="91"/>
      <c r="S66" s="123"/>
      <c r="T66" s="124"/>
      <c r="U66" s="13"/>
      <c r="V66" s="13"/>
      <c r="W66" s="13"/>
      <c r="X66" s="13"/>
      <c r="Y66" s="119">
        <v>0</v>
      </c>
      <c r="Z66" s="119">
        <v>840</v>
      </c>
      <c r="AA66" s="119">
        <f>70*12</f>
        <v>840</v>
      </c>
      <c r="AB66" t="s" s="143">
        <v>90</v>
      </c>
      <c r="AC66" s="13"/>
      <c r="AD66" s="13"/>
    </row>
    <row r="67" ht="15.75" customHeight="1">
      <c r="A67" s="102"/>
      <c r="B67" t="s" s="125">
        <v>99</v>
      </c>
      <c r="C67" s="126">
        <f>SUM(C54:C65)</f>
        <v>58729.490000000005</v>
      </c>
      <c r="D67" s="126">
        <f>SUM(D54:D65)</f>
        <v>58160.01</v>
      </c>
      <c r="E67" s="127">
        <f>SUM(E54:E65)</f>
        <v>33824.28</v>
      </c>
      <c r="F67" s="127">
        <f>SUM(F54:F65)</f>
        <v>28730.62</v>
      </c>
      <c r="G67" s="126">
        <f>SUM(G54:G65)</f>
        <v>58888.9582</v>
      </c>
      <c r="H67" s="126">
        <f>SUM(H54:H65)</f>
        <v>50363.33</v>
      </c>
      <c r="I67" s="126">
        <f>SUM(I54:I65)</f>
        <v>51287.250000000007</v>
      </c>
      <c r="J67" s="128">
        <f>SUM(J54:J65)</f>
        <v>46709.66</v>
      </c>
      <c r="K67" s="129"/>
      <c r="L67" s="126">
        <v>32874</v>
      </c>
      <c r="M67" s="126">
        <f>SUM(M54:M66)</f>
        <v>71317.75</v>
      </c>
      <c r="N67" s="126">
        <f>SUM(N54:N66)</f>
        <v>54885.96</v>
      </c>
      <c r="O67" s="126">
        <f>SUM(O54:O66)</f>
        <v>35783.76</v>
      </c>
      <c r="P67" s="107"/>
      <c r="Q67" s="131">
        <f>SUM(Q54:Q65)</f>
        <v>58888.9582</v>
      </c>
      <c r="R67" s="178">
        <f>IF(T67=0,0,(L67-T67)/T67)</f>
        <v>-0.4504766530808662</v>
      </c>
      <c r="S67" s="132">
        <f>SUM(S54:S65)</f>
        <v>60915.17425</v>
      </c>
      <c r="T67" s="133">
        <f>SUM(T54:T65)</f>
        <v>59822.754</v>
      </c>
      <c r="U67" s="13"/>
      <c r="V67" s="13"/>
      <c r="W67" s="13"/>
      <c r="X67" s="13"/>
      <c r="Y67" s="126">
        <f>SUM(Y54:Y66)</f>
        <v>53818.7745</v>
      </c>
      <c r="Z67" s="126">
        <f>SUM(Z54:Z66)</f>
        <v>52456.46</v>
      </c>
      <c r="AA67" s="126">
        <f>SUM(AA54:AA66)</f>
        <v>32988.0265</v>
      </c>
      <c r="AB67" s="144">
        <f>(AA67-Y67)/Y67</f>
        <v>-0.3870535550749116</v>
      </c>
      <c r="AC67" s="13"/>
      <c r="AD67" s="13"/>
    </row>
    <row r="68" ht="8.25" customHeight="1">
      <c r="A68" s="102"/>
      <c r="B68" s="202"/>
      <c r="C68" s="145"/>
      <c r="D68" s="145"/>
      <c r="E68" s="146"/>
      <c r="F68" s="146"/>
      <c r="G68" s="145"/>
      <c r="H68" s="145"/>
      <c r="I68" s="145"/>
      <c r="J68" s="147"/>
      <c r="K68" s="97"/>
      <c r="L68" s="145"/>
      <c r="M68" s="145"/>
      <c r="N68" s="145"/>
      <c r="O68" s="145"/>
      <c r="P68" s="107"/>
      <c r="Q68" s="148"/>
      <c r="R68" s="91"/>
      <c r="S68" s="149"/>
      <c r="T68" s="150"/>
      <c r="U68" s="13"/>
      <c r="V68" s="13"/>
      <c r="W68" s="13"/>
      <c r="X68" s="13"/>
      <c r="Y68" s="145"/>
      <c r="Z68" s="145"/>
      <c r="AA68" s="145"/>
      <c r="AB68" s="144"/>
      <c r="AC68" s="13"/>
      <c r="AD68" s="13"/>
    </row>
    <row r="69" ht="15.75" customHeight="1">
      <c r="A69" s="102"/>
      <c r="B69" t="s" s="125">
        <v>133</v>
      </c>
      <c r="C69" s="126">
        <f>C51+C67</f>
        <v>205939.07</v>
      </c>
      <c r="D69" s="126">
        <f>D51+D67</f>
        <v>205913.4</v>
      </c>
      <c r="E69" s="127">
        <f>E51+E67</f>
        <v>168142.13</v>
      </c>
      <c r="F69" s="127">
        <f>F51+F67</f>
        <v>155177.6</v>
      </c>
      <c r="G69" s="126">
        <f>G51+G67</f>
        <v>204354.8182</v>
      </c>
      <c r="H69" s="126">
        <f>H51+H67</f>
        <v>181940.35</v>
      </c>
      <c r="I69" s="126">
        <f>I51+I67</f>
        <v>178491.25</v>
      </c>
      <c r="J69" s="128">
        <f>J51+J67</f>
        <v>168536.19</v>
      </c>
      <c r="K69" s="129"/>
      <c r="L69" s="126">
        <v>176934</v>
      </c>
      <c r="M69" s="126">
        <f>M67+M51</f>
        <v>210557.11</v>
      </c>
      <c r="N69" s="126">
        <f>N67+N51</f>
        <v>200331.66</v>
      </c>
      <c r="O69" s="126">
        <f>O67+O51</f>
        <v>179406.27</v>
      </c>
      <c r="P69" s="12"/>
      <c r="Q69" s="131">
        <f>Q51+Q67</f>
        <v>204354.8182</v>
      </c>
      <c r="R69" s="178">
        <f>IF(T69=0,0,(L69-T69)/T69)</f>
        <v>-0.1414503180570068</v>
      </c>
      <c r="S69" s="132">
        <f>S51+S67</f>
        <v>210342.17425</v>
      </c>
      <c r="T69" s="133">
        <f>T51+T67</f>
        <v>206084.754</v>
      </c>
      <c r="U69" s="13"/>
      <c r="V69" s="13"/>
      <c r="W69" s="13"/>
      <c r="X69" s="13"/>
      <c r="Y69" s="126">
        <f>Y67+Y51</f>
        <v>200121.7745</v>
      </c>
      <c r="Z69" s="126">
        <f>Z67+Z51</f>
        <v>185670.62</v>
      </c>
      <c r="AA69" s="126">
        <f>AA67+AA51</f>
        <v>141039.0265</v>
      </c>
      <c r="AB69" s="144">
        <f>(AA69-Y69)/Y69</f>
        <v>-0.2952339801484221</v>
      </c>
      <c r="AC69" s="13"/>
      <c r="AD69" s="13"/>
    </row>
    <row r="70" ht="15" customHeight="1">
      <c r="A70" s="203"/>
      <c r="B70" s="204"/>
      <c r="C70" s="205"/>
      <c r="D70" s="206"/>
      <c r="E70" s="206"/>
      <c r="F70" s="205"/>
      <c r="G70" s="205"/>
      <c r="H70" s="205"/>
      <c r="I70" s="207"/>
      <c r="J70" s="208"/>
      <c r="K70" s="209"/>
      <c r="L70" s="210"/>
      <c r="M70" s="210"/>
      <c r="N70" s="179"/>
      <c r="O70" s="179"/>
      <c r="P70" s="12"/>
      <c r="Q70" s="139"/>
      <c r="R70" s="91"/>
      <c r="S70" s="211"/>
      <c r="T70" s="212"/>
      <c r="U70" s="13"/>
      <c r="V70" s="13"/>
      <c r="W70" s="13"/>
      <c r="X70" s="13"/>
      <c r="Y70" s="179"/>
      <c r="Z70" s="179"/>
      <c r="AA70" s="179"/>
      <c r="AB70" s="144"/>
      <c r="AC70" s="13"/>
      <c r="AD70" s="13"/>
    </row>
    <row r="71" ht="16.5" customHeight="1">
      <c r="A71" t="s" s="125">
        <v>134</v>
      </c>
      <c r="B71" s="13"/>
      <c r="C71" s="104"/>
      <c r="D71" s="104"/>
      <c r="E71" s="105"/>
      <c r="F71" s="105"/>
      <c r="G71" s="104"/>
      <c r="H71" s="104"/>
      <c r="I71" s="104"/>
      <c r="J71" s="96"/>
      <c r="K71" s="97"/>
      <c r="L71" s="104"/>
      <c r="M71" s="104"/>
      <c r="N71" s="104"/>
      <c r="O71" s="104"/>
      <c r="P71" s="107"/>
      <c r="Q71" s="13"/>
      <c r="R71" s="91"/>
      <c r="S71" s="100"/>
      <c r="T71" s="109"/>
      <c r="U71" s="13"/>
      <c r="V71" s="13"/>
      <c r="W71" s="13"/>
      <c r="X71" s="13"/>
      <c r="Y71" s="104"/>
      <c r="Z71" s="104"/>
      <c r="AA71" s="104"/>
      <c r="AB71" s="144"/>
      <c r="AC71" s="13"/>
      <c r="AD71" s="13"/>
    </row>
    <row r="72" ht="15.75" customHeight="1">
      <c r="A72" t="s" s="102">
        <v>135</v>
      </c>
      <c r="B72" t="s" s="103">
        <v>136</v>
      </c>
      <c r="C72" s="104">
        <f>7626.41-2015-1362.47-737.13</f>
        <v>3511.809999999999</v>
      </c>
      <c r="D72" s="104">
        <v>4135.71</v>
      </c>
      <c r="E72" s="105">
        <v>2378.13</v>
      </c>
      <c r="F72" s="105">
        <v>1997.83</v>
      </c>
      <c r="G72" s="104">
        <f>27382.44-20250-603.28-1728-852.68</f>
        <v>3948.479999999999</v>
      </c>
      <c r="H72" s="104">
        <v>5117.7</v>
      </c>
      <c r="I72" s="104">
        <v>4594.82</v>
      </c>
      <c r="J72" s="106">
        <v>5546.82</v>
      </c>
      <c r="K72" s="97"/>
      <c r="L72" s="104">
        <v>2387.47</v>
      </c>
      <c r="M72" s="104">
        <v>2419.27</v>
      </c>
      <c r="N72" s="104">
        <v>2611.11</v>
      </c>
      <c r="O72" s="104">
        <f>3535.4</f>
        <v>3535.4</v>
      </c>
      <c r="P72" t="s" s="143">
        <v>123</v>
      </c>
      <c r="Q72" s="213">
        <f>27382.44-20250</f>
        <v>7132.439999999999</v>
      </c>
      <c r="R72" s="178">
        <f>IF(T72=0,0,(L72-T72)/T72)</f>
        <v>-0.677368918918919</v>
      </c>
      <c r="S72" s="100">
        <v>4500</v>
      </c>
      <c r="T72" s="109">
        <f>8000-600</f>
        <v>7400</v>
      </c>
      <c r="U72" s="13"/>
      <c r="V72" s="13"/>
      <c r="W72" s="13"/>
      <c r="X72" s="13"/>
      <c r="Y72" s="104">
        <v>2600</v>
      </c>
      <c r="Z72" s="104">
        <v>1562.75</v>
      </c>
      <c r="AA72" s="199">
        <v>1300</v>
      </c>
      <c r="AB72" s="144">
        <f>(AA72-Y72)/Y72</f>
        <v>-0.5</v>
      </c>
      <c r="AC72" s="13"/>
      <c r="AD72" s="13"/>
    </row>
    <row r="73" ht="15.75" customHeight="1">
      <c r="A73" t="s" s="102">
        <v>137</v>
      </c>
      <c r="B73" t="s" s="103">
        <v>138</v>
      </c>
      <c r="C73" s="104">
        <v>1677.01</v>
      </c>
      <c r="D73" s="104">
        <v>1921.09</v>
      </c>
      <c r="E73" s="105">
        <v>2036.82</v>
      </c>
      <c r="F73" s="105">
        <v>1757.94</v>
      </c>
      <c r="G73" s="104">
        <v>1648.3</v>
      </c>
      <c r="H73" s="104">
        <v>1699.46</v>
      </c>
      <c r="I73" s="104">
        <v>1867.37</v>
      </c>
      <c r="J73" s="106">
        <v>2212.15</v>
      </c>
      <c r="K73" s="97"/>
      <c r="L73" s="104">
        <v>1897.68</v>
      </c>
      <c r="M73" s="104">
        <v>1812.5</v>
      </c>
      <c r="N73" s="104">
        <v>2473.68</v>
      </c>
      <c r="O73" s="104">
        <v>3111.97</v>
      </c>
      <c r="P73" s="107"/>
      <c r="Q73" s="107">
        <v>1648.3</v>
      </c>
      <c r="R73" s="178">
        <f>IF(T73=0,0,(L73-T73)/T73)</f>
        <v>-0.2093</v>
      </c>
      <c r="S73" s="100">
        <v>1800</v>
      </c>
      <c r="T73" s="109">
        <v>2400</v>
      </c>
      <c r="U73" s="13"/>
      <c r="V73" s="13"/>
      <c r="W73" s="13"/>
      <c r="X73" s="13"/>
      <c r="Y73" s="104">
        <v>2400</v>
      </c>
      <c r="Z73" s="104">
        <v>3251.44</v>
      </c>
      <c r="AA73" s="104">
        <f>289.25*12-840</f>
        <v>2631</v>
      </c>
      <c r="AB73" s="144">
        <f>(AA73-Y73)/Y73</f>
        <v>0.09625</v>
      </c>
      <c r="AC73" t="s" s="143">
        <v>139</v>
      </c>
      <c r="AD73" s="13"/>
    </row>
    <row r="74" ht="15.75" customHeight="1">
      <c r="A74" t="s" s="102">
        <v>140</v>
      </c>
      <c r="B74" t="s" s="103">
        <v>141</v>
      </c>
      <c r="C74" s="104">
        <v>0</v>
      </c>
      <c r="D74" s="104">
        <v>0</v>
      </c>
      <c r="E74" s="105">
        <v>300</v>
      </c>
      <c r="F74" s="105">
        <v>0</v>
      </c>
      <c r="G74" s="104">
        <v>321.13</v>
      </c>
      <c r="H74" s="104">
        <v>0</v>
      </c>
      <c r="I74" s="104">
        <v>758.11</v>
      </c>
      <c r="J74" s="106">
        <v>0</v>
      </c>
      <c r="K74" s="97"/>
      <c r="L74" s="104">
        <v>0</v>
      </c>
      <c r="M74" s="104">
        <v>375</v>
      </c>
      <c r="N74" s="104">
        <v>420.49</v>
      </c>
      <c r="O74" s="104">
        <v>425</v>
      </c>
      <c r="P74" s="107"/>
      <c r="Q74" s="107">
        <v>321.13</v>
      </c>
      <c r="R74" s="178">
        <f>IF(T74=0,0,(L74-T74)/T74)</f>
        <v>-1</v>
      </c>
      <c r="S74" s="100">
        <v>500</v>
      </c>
      <c r="T74" s="109">
        <v>500</v>
      </c>
      <c r="U74" s="13"/>
      <c r="V74" s="13"/>
      <c r="W74" s="13"/>
      <c r="X74" s="13"/>
      <c r="Y74" s="104">
        <v>400</v>
      </c>
      <c r="Z74" s="104">
        <v>450</v>
      </c>
      <c r="AA74" s="104">
        <v>450</v>
      </c>
      <c r="AB74" s="144">
        <f>(AA74-Y74)/Y74</f>
        <v>0.125</v>
      </c>
      <c r="AC74" s="13"/>
      <c r="AD74" s="13"/>
    </row>
    <row r="75" ht="15.75" customHeight="1">
      <c r="A75" t="s" s="102">
        <v>142</v>
      </c>
      <c r="B75" t="s" s="103">
        <v>143</v>
      </c>
      <c r="C75" s="104">
        <v>0</v>
      </c>
      <c r="D75" s="104">
        <v>0</v>
      </c>
      <c r="E75" s="105">
        <v>1178.09</v>
      </c>
      <c r="F75" s="105">
        <v>279</v>
      </c>
      <c r="G75" s="104">
        <v>0</v>
      </c>
      <c r="H75" s="104"/>
      <c r="I75" s="104"/>
      <c r="J75" s="106"/>
      <c r="K75" s="97"/>
      <c r="L75" s="104">
        <v>345</v>
      </c>
      <c r="M75" s="104">
        <v>426.51</v>
      </c>
      <c r="N75" s="104">
        <v>493.16</v>
      </c>
      <c r="O75" s="104">
        <v>733.2</v>
      </c>
      <c r="P75" t="s" s="143">
        <v>123</v>
      </c>
      <c r="Q75" s="107"/>
      <c r="R75" s="178">
        <f>IF(T75=0,0,(L75-T75)/T75)</f>
        <v>0</v>
      </c>
      <c r="S75" s="100">
        <v>0</v>
      </c>
      <c r="T75" s="109">
        <v>0</v>
      </c>
      <c r="U75" s="13"/>
      <c r="V75" s="13"/>
      <c r="W75" s="13"/>
      <c r="X75" s="13"/>
      <c r="Y75" s="104">
        <v>500</v>
      </c>
      <c r="Z75" s="104">
        <v>124</v>
      </c>
      <c r="AA75" s="104">
        <v>125</v>
      </c>
      <c r="AB75" s="144">
        <f>(AA75-Y75)/Y75</f>
        <v>-0.75</v>
      </c>
      <c r="AC75" t="s" s="214">
        <v>144</v>
      </c>
      <c r="AD75" s="13"/>
    </row>
    <row r="76" ht="15.75" customHeight="1">
      <c r="A76" t="s" s="102">
        <v>145</v>
      </c>
      <c r="B76" t="s" s="103">
        <v>146</v>
      </c>
      <c r="C76" s="104">
        <v>3588.09</v>
      </c>
      <c r="D76" s="104">
        <v>2072.75</v>
      </c>
      <c r="E76" s="105">
        <v>2463.65</v>
      </c>
      <c r="F76" s="105">
        <v>2079.89</v>
      </c>
      <c r="G76" s="104">
        <v>2927.13</v>
      </c>
      <c r="H76" s="104">
        <v>2992.42</v>
      </c>
      <c r="I76" s="104">
        <v>2763.3</v>
      </c>
      <c r="J76" s="106">
        <v>2785.71</v>
      </c>
      <c r="K76" s="97"/>
      <c r="L76" s="104">
        <v>2085</v>
      </c>
      <c r="M76" s="104">
        <v>2964.38</v>
      </c>
      <c r="N76" s="104">
        <v>2439.76</v>
      </c>
      <c r="O76" s="104">
        <v>3852.46</v>
      </c>
      <c r="P76" t="s" s="143">
        <v>147</v>
      </c>
      <c r="Q76" s="107">
        <v>2927.13</v>
      </c>
      <c r="R76" s="178">
        <f>IF(T76=0,0,(L76-T76)/T76)</f>
        <v>-0.4653846153846154</v>
      </c>
      <c r="S76" s="100">
        <v>2250</v>
      </c>
      <c r="T76" s="109">
        <v>3900</v>
      </c>
      <c r="U76" s="13"/>
      <c r="V76" s="13"/>
      <c r="W76" s="13"/>
      <c r="X76" s="13"/>
      <c r="Y76" s="104">
        <v>2100</v>
      </c>
      <c r="Z76" s="104">
        <v>1300.87</v>
      </c>
      <c r="AA76" s="199">
        <v>1000</v>
      </c>
      <c r="AB76" s="144">
        <f>(AA76-Y76)/Y76</f>
        <v>-0.5238095238095238</v>
      </c>
      <c r="AC76" s="13"/>
      <c r="AD76" s="13"/>
    </row>
    <row r="77" ht="15.75" customHeight="1">
      <c r="A77" t="s" s="102">
        <v>148</v>
      </c>
      <c r="B77" t="s" s="103">
        <v>149</v>
      </c>
      <c r="C77" s="104">
        <v>145</v>
      </c>
      <c r="D77" s="104">
        <v>233.24</v>
      </c>
      <c r="E77" s="105">
        <v>110</v>
      </c>
      <c r="F77" s="105">
        <v>124.82</v>
      </c>
      <c r="G77" s="104">
        <v>0</v>
      </c>
      <c r="H77" s="104">
        <v>295</v>
      </c>
      <c r="I77" s="104">
        <v>160</v>
      </c>
      <c r="J77" s="106">
        <v>460.61</v>
      </c>
      <c r="K77" s="97"/>
      <c r="L77" s="104">
        <v>124.82</v>
      </c>
      <c r="M77" s="104">
        <v>89.95</v>
      </c>
      <c r="N77" s="104">
        <v>0</v>
      </c>
      <c r="O77" s="104">
        <v>14</v>
      </c>
      <c r="P77" t="s" s="143">
        <v>147</v>
      </c>
      <c r="Q77" s="107">
        <v>0</v>
      </c>
      <c r="R77" s="178">
        <f>IF(T77=0,0,(L77-T77)/T77)</f>
        <v>-0.4799166666666667</v>
      </c>
      <c r="S77" s="100">
        <v>240</v>
      </c>
      <c r="T77" s="109">
        <v>240</v>
      </c>
      <c r="U77" s="13"/>
      <c r="V77" s="13"/>
      <c r="W77" s="13"/>
      <c r="X77" s="13"/>
      <c r="Y77" s="104">
        <v>200</v>
      </c>
      <c r="Z77" s="104">
        <v>404.95</v>
      </c>
      <c r="AA77" s="199">
        <v>0</v>
      </c>
      <c r="AB77" s="144">
        <f>(AA77-Y77)/Y77</f>
        <v>-1</v>
      </c>
      <c r="AC77" s="13"/>
      <c r="AD77" s="13"/>
    </row>
    <row r="78" ht="15.75" customHeight="1">
      <c r="A78" t="s" s="102">
        <v>150</v>
      </c>
      <c r="B78" t="s" s="103">
        <v>151</v>
      </c>
      <c r="C78" s="104"/>
      <c r="D78" s="104"/>
      <c r="E78" s="105">
        <v>0</v>
      </c>
      <c r="F78" s="105"/>
      <c r="G78" s="104"/>
      <c r="H78" s="104"/>
      <c r="I78" s="104"/>
      <c r="J78" s="106"/>
      <c r="K78" s="97"/>
      <c r="L78" s="104">
        <v>0</v>
      </c>
      <c r="M78" s="104">
        <v>0</v>
      </c>
      <c r="N78" s="104">
        <v>0</v>
      </c>
      <c r="O78" s="104">
        <v>6625.72</v>
      </c>
      <c r="P78" s="107"/>
      <c r="Q78" s="107"/>
      <c r="R78" s="178"/>
      <c r="S78" s="100"/>
      <c r="T78" s="109"/>
      <c r="U78" s="13"/>
      <c r="V78" s="13"/>
      <c r="W78" s="13"/>
      <c r="X78" s="13"/>
      <c r="Y78" s="104">
        <v>0</v>
      </c>
      <c r="Z78" s="104">
        <v>750</v>
      </c>
      <c r="AA78" s="104">
        <v>0</v>
      </c>
      <c r="AB78" t="s" s="143">
        <v>90</v>
      </c>
      <c r="AC78" s="13"/>
      <c r="AD78" s="13"/>
    </row>
    <row r="79" ht="15.75" customHeight="1">
      <c r="A79" t="s" s="102">
        <v>152</v>
      </c>
      <c r="B79" t="s" s="103">
        <v>153</v>
      </c>
      <c r="C79" s="104">
        <v>737.13</v>
      </c>
      <c r="D79" s="104">
        <v>664.03</v>
      </c>
      <c r="E79" s="105">
        <v>810.02</v>
      </c>
      <c r="F79" s="105">
        <v>614.83</v>
      </c>
      <c r="G79" s="104">
        <v>603.28</v>
      </c>
      <c r="H79" s="104"/>
      <c r="I79" s="104"/>
      <c r="J79" s="106"/>
      <c r="K79" s="97"/>
      <c r="L79" s="104">
        <v>669.63</v>
      </c>
      <c r="M79" s="104">
        <v>775.6</v>
      </c>
      <c r="N79" s="104">
        <v>1244.45</v>
      </c>
      <c r="O79" s="104">
        <v>1073.697</v>
      </c>
      <c r="P79" t="s" s="143">
        <v>123</v>
      </c>
      <c r="Q79" s="107"/>
      <c r="R79" s="178">
        <f>IF(T79=0,0,(L79-T79)/T79)</f>
        <v>0.11605</v>
      </c>
      <c r="S79" s="100">
        <v>700</v>
      </c>
      <c r="T79" s="109">
        <v>600</v>
      </c>
      <c r="U79" s="13"/>
      <c r="V79" s="13"/>
      <c r="W79" s="13"/>
      <c r="X79" s="13"/>
      <c r="Y79" s="104">
        <v>1225</v>
      </c>
      <c r="Z79" s="104">
        <v>458.34</v>
      </c>
      <c r="AA79" s="104">
        <v>458</v>
      </c>
      <c r="AB79" s="144">
        <f>(AA79-Y79)/Y79</f>
        <v>-0.6261224489795918</v>
      </c>
      <c r="AC79" s="13"/>
      <c r="AD79" s="13"/>
    </row>
    <row r="80" ht="15.75" customHeight="1">
      <c r="A80" t="s" s="102">
        <v>154</v>
      </c>
      <c r="B80" t="s" s="103">
        <v>155</v>
      </c>
      <c r="C80" s="104">
        <f>5011.08+2015+1362.47</f>
        <v>8388.549999999999</v>
      </c>
      <c r="D80" s="104">
        <v>8021.91</v>
      </c>
      <c r="E80" s="105">
        <v>9267.790000000001</v>
      </c>
      <c r="F80" s="105">
        <v>7541.9</v>
      </c>
      <c r="G80" s="104">
        <f>7368.4+852.68+1728</f>
        <v>9949.08</v>
      </c>
      <c r="H80" s="104">
        <v>3968</v>
      </c>
      <c r="I80" s="104">
        <v>1644.06</v>
      </c>
      <c r="J80" s="215">
        <v>3253.03</v>
      </c>
      <c r="K80" s="97"/>
      <c r="L80" s="104">
        <v>8080.62</v>
      </c>
      <c r="M80" s="104">
        <f>6248.14+60</f>
        <v>6308.14</v>
      </c>
      <c r="N80" s="104">
        <v>5648.27</v>
      </c>
      <c r="O80" s="104">
        <v>4503.22</v>
      </c>
      <c r="P80" t="s" s="216">
        <v>156</v>
      </c>
      <c r="Q80" s="107">
        <f>7368.4-5172.29</f>
        <v>2196.11</v>
      </c>
      <c r="R80" s="178">
        <f>IF(T80=0,0,(L80-T80)/T80)</f>
        <v>0.616124</v>
      </c>
      <c r="S80" s="100">
        <v>8200</v>
      </c>
      <c r="T80" s="109">
        <v>5000</v>
      </c>
      <c r="U80" s="13"/>
      <c r="V80" s="13"/>
      <c r="W80" s="13"/>
      <c r="X80" s="13"/>
      <c r="Y80" s="104">
        <v>8000</v>
      </c>
      <c r="Z80" s="104">
        <v>4143.25</v>
      </c>
      <c r="AA80" s="199">
        <v>3000</v>
      </c>
      <c r="AB80" s="144">
        <f>(AA80-Y80)/Y80</f>
        <v>-0.625</v>
      </c>
      <c r="AC80" s="13"/>
      <c r="AD80" s="13"/>
    </row>
    <row r="81" ht="11.25" customHeight="1">
      <c r="A81" s="203"/>
      <c r="B81" s="112"/>
      <c r="C81" s="119"/>
      <c r="D81" s="120"/>
      <c r="E81" s="120"/>
      <c r="F81" s="119"/>
      <c r="G81" s="119"/>
      <c r="H81" s="119"/>
      <c r="I81" s="121"/>
      <c r="J81" s="217"/>
      <c r="K81" s="218"/>
      <c r="L81" s="119"/>
      <c r="M81" s="119"/>
      <c r="N81" s="119"/>
      <c r="O81" s="119"/>
      <c r="P81" s="107"/>
      <c r="Q81" s="122"/>
      <c r="R81" s="91"/>
      <c r="S81" s="123"/>
      <c r="T81" s="124"/>
      <c r="U81" s="13"/>
      <c r="V81" s="13"/>
      <c r="W81" s="13"/>
      <c r="X81" s="13"/>
      <c r="Y81" s="119"/>
      <c r="Z81" s="119"/>
      <c r="AA81" s="119"/>
      <c r="AB81" s="144"/>
      <c r="AC81" s="13"/>
      <c r="AD81" s="13"/>
    </row>
    <row r="82" ht="15.75" customHeight="1">
      <c r="A82" s="102"/>
      <c r="B82" t="s" s="125">
        <v>157</v>
      </c>
      <c r="C82" s="126">
        <f>SUM(C72:C81)</f>
        <v>18047.59</v>
      </c>
      <c r="D82" s="126">
        <f>SUM(D72:D81)</f>
        <v>17048.73</v>
      </c>
      <c r="E82" s="127">
        <f>SUM(E72:E81)</f>
        <v>18544.5</v>
      </c>
      <c r="F82" s="127">
        <f>SUM(F72:F81)</f>
        <v>14396.21</v>
      </c>
      <c r="G82" s="126">
        <f>SUM(G72:G81)</f>
        <v>19397.4</v>
      </c>
      <c r="H82" s="126">
        <f>SUM(H72:H81)</f>
        <v>14072.58</v>
      </c>
      <c r="I82" s="126">
        <f>SUM(I72:I81)</f>
        <v>11787.66</v>
      </c>
      <c r="J82" s="128">
        <f>SUM(J72:J81)</f>
        <v>14258.32</v>
      </c>
      <c r="K82" s="129"/>
      <c r="L82" s="126">
        <v>15591</v>
      </c>
      <c r="M82" s="126">
        <f>SUM(M72:M81)</f>
        <v>15171.35</v>
      </c>
      <c r="N82" s="126">
        <f>SUM(N72:N81)</f>
        <v>15330.92</v>
      </c>
      <c r="O82" s="126">
        <f>SUM(O72:O81)</f>
        <v>23874.667</v>
      </c>
      <c r="P82" s="107"/>
      <c r="Q82" s="131">
        <f>SUM(Q72:Q81)</f>
        <v>14225.11</v>
      </c>
      <c r="R82" s="178">
        <f>IF(T82=0,0,(L82-T82)/T82)</f>
        <v>-0.2220059880239521</v>
      </c>
      <c r="S82" s="132">
        <f>SUM(S72:S81)</f>
        <v>18190</v>
      </c>
      <c r="T82" s="133">
        <f>SUM(T72:T81)</f>
        <v>20040</v>
      </c>
      <c r="U82" s="13"/>
      <c r="V82" s="13"/>
      <c r="W82" s="13"/>
      <c r="X82" s="13"/>
      <c r="Y82" s="126">
        <f>SUM(Y72:Y81)</f>
        <v>17425</v>
      </c>
      <c r="Z82" s="126">
        <f>SUM(Z72:Z81)</f>
        <v>12445.6</v>
      </c>
      <c r="AA82" s="126">
        <f>SUM(AA72:AA81)</f>
        <v>8964</v>
      </c>
      <c r="AB82" s="144">
        <f>(AA82-Y82)/Y82</f>
        <v>-0.4855667144906743</v>
      </c>
      <c r="AC82" s="13"/>
      <c r="AD82" s="13"/>
    </row>
    <row r="83" ht="24" customHeight="1">
      <c r="A83" s="102"/>
      <c r="B83" s="135"/>
      <c r="C83" s="136"/>
      <c r="D83" s="136"/>
      <c r="E83" s="137"/>
      <c r="F83" s="137"/>
      <c r="G83" s="179"/>
      <c r="H83" s="136"/>
      <c r="I83" s="136"/>
      <c r="J83" s="138"/>
      <c r="K83" s="97"/>
      <c r="L83" s="136"/>
      <c r="M83" s="136"/>
      <c r="N83" s="136"/>
      <c r="O83" s="136"/>
      <c r="P83" s="107"/>
      <c r="Q83" s="180"/>
      <c r="R83" s="91"/>
      <c r="S83" s="140"/>
      <c r="T83" s="141"/>
      <c r="U83" s="13"/>
      <c r="V83" s="13"/>
      <c r="W83" s="13"/>
      <c r="X83" s="13"/>
      <c r="Y83" s="136"/>
      <c r="Z83" s="136"/>
      <c r="AA83" s="136"/>
      <c r="AB83" s="144"/>
      <c r="AC83" s="13"/>
      <c r="AD83" s="13"/>
    </row>
    <row r="84" ht="15.75" customHeight="1">
      <c r="A84" t="s" s="125">
        <v>158</v>
      </c>
      <c r="B84" s="13"/>
      <c r="C84" s="104"/>
      <c r="D84" s="104"/>
      <c r="E84" s="105"/>
      <c r="F84" s="105"/>
      <c r="G84" s="104"/>
      <c r="H84" s="104"/>
      <c r="I84" s="104"/>
      <c r="J84" s="106"/>
      <c r="K84" s="97"/>
      <c r="L84" s="104"/>
      <c r="M84" s="104"/>
      <c r="N84" s="104"/>
      <c r="O84" s="104"/>
      <c r="P84" s="107"/>
      <c r="Q84" s="13"/>
      <c r="R84" s="91"/>
      <c r="S84" s="100"/>
      <c r="T84" s="109"/>
      <c r="U84" s="13"/>
      <c r="V84" s="13"/>
      <c r="W84" s="13"/>
      <c r="X84" s="13"/>
      <c r="Y84" s="104"/>
      <c r="Z84" s="104"/>
      <c r="AA84" s="104"/>
      <c r="AB84" s="144"/>
      <c r="AC84" s="13"/>
      <c r="AD84" s="13"/>
    </row>
    <row r="85" ht="15.75" customHeight="1">
      <c r="A85" t="s" s="102">
        <v>159</v>
      </c>
      <c r="B85" t="s" s="103">
        <v>160</v>
      </c>
      <c r="C85" s="104">
        <v>25883.91</v>
      </c>
      <c r="D85" s="104">
        <v>19437.9</v>
      </c>
      <c r="E85" s="105">
        <v>23181.01</v>
      </c>
      <c r="F85" s="105">
        <v>20759.37</v>
      </c>
      <c r="G85" s="104">
        <v>28128.52</v>
      </c>
      <c r="H85" s="104">
        <v>20527.66</v>
      </c>
      <c r="I85" s="104">
        <v>22103.65</v>
      </c>
      <c r="J85" s="106">
        <v>28646.61</v>
      </c>
      <c r="K85" s="97"/>
      <c r="L85" s="104">
        <v>23363.52</v>
      </c>
      <c r="M85" s="104">
        <v>17854.24</v>
      </c>
      <c r="N85" s="104">
        <v>25669.65</v>
      </c>
      <c r="O85" s="104">
        <v>26892.4</v>
      </c>
      <c r="P85" t="s" s="143">
        <v>123</v>
      </c>
      <c r="Q85" s="107">
        <v>28128.52</v>
      </c>
      <c r="R85" s="178">
        <f>IF(T85=0,0,(L85-T85)/T85)</f>
        <v>-0.02651999999999998</v>
      </c>
      <c r="S85" s="100">
        <v>21000</v>
      </c>
      <c r="T85" s="109">
        <v>24000</v>
      </c>
      <c r="U85" s="13"/>
      <c r="V85" s="13"/>
      <c r="W85" s="13"/>
      <c r="X85" s="13"/>
      <c r="Y85" s="104">
        <v>26000</v>
      </c>
      <c r="Z85" s="104">
        <v>10617.35</v>
      </c>
      <c r="AA85" s="104">
        <v>26000</v>
      </c>
      <c r="AB85" s="144">
        <f>(AA85-Y85)/Y85</f>
        <v>0</v>
      </c>
      <c r="AC85" t="s" s="214">
        <v>161</v>
      </c>
      <c r="AD85" s="13"/>
    </row>
    <row r="86" ht="15.75" customHeight="1">
      <c r="A86" t="s" s="102">
        <v>162</v>
      </c>
      <c r="B86" t="s" s="103">
        <v>163</v>
      </c>
      <c r="C86" s="104">
        <v>1898.89</v>
      </c>
      <c r="D86" s="104">
        <v>1387.03</v>
      </c>
      <c r="E86" s="105">
        <v>1195.99</v>
      </c>
      <c r="F86" s="105">
        <v>908.15</v>
      </c>
      <c r="G86" s="104">
        <v>2263.56</v>
      </c>
      <c r="H86" s="104">
        <v>1068.25</v>
      </c>
      <c r="I86" s="104">
        <v>839.96</v>
      </c>
      <c r="J86" s="106">
        <v>1153.22</v>
      </c>
      <c r="K86" s="97"/>
      <c r="L86" s="104">
        <v>1294.14</v>
      </c>
      <c r="M86" s="104">
        <v>2015.25</v>
      </c>
      <c r="N86" s="104">
        <v>1448.5</v>
      </c>
      <c r="O86" s="104">
        <v>507</v>
      </c>
      <c r="P86" t="s" s="143">
        <v>123</v>
      </c>
      <c r="Q86" s="107">
        <v>2263.56</v>
      </c>
      <c r="R86" s="178">
        <f>IF(T86=0,0,(L86-T86)/T86)</f>
        <v>-0.35293</v>
      </c>
      <c r="S86" s="100">
        <v>1500</v>
      </c>
      <c r="T86" s="109">
        <v>2000</v>
      </c>
      <c r="U86" s="13"/>
      <c r="V86" s="13"/>
      <c r="W86" s="13"/>
      <c r="X86" s="13"/>
      <c r="Y86" s="104">
        <v>1500</v>
      </c>
      <c r="Z86" s="104">
        <v>965.75</v>
      </c>
      <c r="AA86" s="104">
        <v>1000</v>
      </c>
      <c r="AB86" s="144">
        <f>(AA86-Y86)/Y86</f>
        <v>-0.3333333333333333</v>
      </c>
      <c r="AC86" s="13"/>
      <c r="AD86" s="13"/>
    </row>
    <row r="87" ht="15.75" customHeight="1">
      <c r="A87" t="s" s="102">
        <v>164</v>
      </c>
      <c r="B87" t="s" s="103">
        <v>165</v>
      </c>
      <c r="C87" s="104">
        <v>809.1799999999999</v>
      </c>
      <c r="D87" s="104">
        <v>1131.48</v>
      </c>
      <c r="E87" s="105">
        <v>1191.36</v>
      </c>
      <c r="F87" s="105">
        <v>995.4400000000001</v>
      </c>
      <c r="G87" s="104">
        <v>920.28</v>
      </c>
      <c r="H87" s="104"/>
      <c r="I87" s="104"/>
      <c r="J87" s="106"/>
      <c r="K87" s="97"/>
      <c r="L87" s="104">
        <v>1089.22</v>
      </c>
      <c r="M87" s="104">
        <v>1162.23</v>
      </c>
      <c r="N87" s="104">
        <v>1333.59</v>
      </c>
      <c r="O87" s="104">
        <v>1717.47</v>
      </c>
      <c r="P87" t="s" s="143">
        <v>166</v>
      </c>
      <c r="Q87" s="107"/>
      <c r="R87" s="178">
        <f>IF(T87=0,0,(L87-T87)/T87)</f>
        <v>0</v>
      </c>
      <c r="S87" s="100">
        <v>1150</v>
      </c>
      <c r="T87" s="109">
        <v>0</v>
      </c>
      <c r="U87" s="13"/>
      <c r="V87" s="13"/>
      <c r="W87" s="13"/>
      <c r="X87" s="13"/>
      <c r="Y87" s="104">
        <v>1920</v>
      </c>
      <c r="Z87" s="104">
        <v>1812.48</v>
      </c>
      <c r="AA87" s="104">
        <v>2028</v>
      </c>
      <c r="AB87" s="144">
        <f>(AA87-Y87)/Y87</f>
        <v>0.05625</v>
      </c>
      <c r="AC87" s="219"/>
      <c r="AD87" s="13"/>
    </row>
    <row r="88" ht="15.75" customHeight="1">
      <c r="A88" t="s" s="102">
        <v>167</v>
      </c>
      <c r="B88" t="s" s="103">
        <v>168</v>
      </c>
      <c r="C88" s="104">
        <v>4641.7</v>
      </c>
      <c r="D88" s="104">
        <v>4340.7</v>
      </c>
      <c r="E88" s="105">
        <v>2672.06</v>
      </c>
      <c r="F88" s="105">
        <v>1710.65</v>
      </c>
      <c r="G88" s="104">
        <v>4964.58</v>
      </c>
      <c r="H88" s="104">
        <v>4582.26</v>
      </c>
      <c r="I88" s="104">
        <v>3969.68</v>
      </c>
      <c r="J88" s="106">
        <v>5743.27</v>
      </c>
      <c r="K88" s="97"/>
      <c r="L88" s="104">
        <v>2265.76</v>
      </c>
      <c r="M88" s="104">
        <v>2058.97</v>
      </c>
      <c r="N88" s="104">
        <v>2065.69</v>
      </c>
      <c r="O88" s="104">
        <v>2121.58</v>
      </c>
      <c r="P88" t="s" s="143">
        <v>123</v>
      </c>
      <c r="Q88" s="107">
        <v>4964.58</v>
      </c>
      <c r="R88" s="178">
        <f>IF(T88=0,0,(L88-T88)/T88)</f>
        <v>-0.4850545454545454</v>
      </c>
      <c r="S88" s="100">
        <v>4400</v>
      </c>
      <c r="T88" s="109">
        <v>4400</v>
      </c>
      <c r="U88" s="13"/>
      <c r="V88" s="13"/>
      <c r="W88" s="13"/>
      <c r="X88" s="13"/>
      <c r="Y88" s="104">
        <v>2000</v>
      </c>
      <c r="Z88" s="104">
        <v>1711.61</v>
      </c>
      <c r="AA88" s="104">
        <v>2000</v>
      </c>
      <c r="AB88" s="144">
        <f>(AA88-Y88)/Y88</f>
        <v>0</v>
      </c>
      <c r="AC88" s="13"/>
      <c r="AD88" s="13"/>
    </row>
    <row r="89" ht="15.75" customHeight="1">
      <c r="A89" t="s" s="102">
        <v>169</v>
      </c>
      <c r="B89" t="s" s="103">
        <v>170</v>
      </c>
      <c r="C89" s="104">
        <v>622</v>
      </c>
      <c r="D89" s="104">
        <v>624</v>
      </c>
      <c r="E89" s="105">
        <v>624</v>
      </c>
      <c r="F89" s="105">
        <v>350</v>
      </c>
      <c r="G89" s="104">
        <v>600</v>
      </c>
      <c r="H89" s="104"/>
      <c r="I89" s="104"/>
      <c r="J89" s="106"/>
      <c r="K89" s="97"/>
      <c r="L89" s="104">
        <v>384</v>
      </c>
      <c r="M89" s="104">
        <v>408</v>
      </c>
      <c r="N89" s="104">
        <v>452.88</v>
      </c>
      <c r="O89" s="104">
        <v>388.96</v>
      </c>
      <c r="P89" t="s" s="143">
        <v>171</v>
      </c>
      <c r="Q89" s="107"/>
      <c r="R89" s="178">
        <f>IF(T89=0,0,(L89-T89)/T89)</f>
        <v>0</v>
      </c>
      <c r="S89" s="100">
        <v>624</v>
      </c>
      <c r="T89" s="109">
        <v>0</v>
      </c>
      <c r="U89" s="13"/>
      <c r="V89" s="13"/>
      <c r="W89" s="13"/>
      <c r="X89" s="13"/>
      <c r="Y89" s="104">
        <v>400</v>
      </c>
      <c r="Z89" s="104">
        <v>354.86</v>
      </c>
      <c r="AA89" s="104">
        <v>355</v>
      </c>
      <c r="AB89" s="144">
        <f>(AA89-Y89)/Y89</f>
        <v>-0.1125</v>
      </c>
      <c r="AC89" s="13"/>
      <c r="AD89" s="13"/>
    </row>
    <row r="90" ht="15.75" customHeight="1">
      <c r="A90" t="s" s="102">
        <v>172</v>
      </c>
      <c r="B90" t="s" s="103">
        <v>173</v>
      </c>
      <c r="C90" s="104">
        <v>893.66</v>
      </c>
      <c r="D90" s="104">
        <v>926.52</v>
      </c>
      <c r="E90" s="105">
        <v>997.8</v>
      </c>
      <c r="F90" s="105">
        <v>900.36</v>
      </c>
      <c r="G90" s="104">
        <v>846.7</v>
      </c>
      <c r="H90" s="104"/>
      <c r="I90" s="104"/>
      <c r="J90" s="106"/>
      <c r="K90" s="97"/>
      <c r="L90" s="104">
        <v>900.36</v>
      </c>
      <c r="M90" s="104">
        <v>527.6</v>
      </c>
      <c r="N90" s="104">
        <v>541.9400000000001</v>
      </c>
      <c r="O90" s="104">
        <v>1173.66</v>
      </c>
      <c r="P90" t="s" s="143">
        <v>174</v>
      </c>
      <c r="Q90" s="107"/>
      <c r="R90" s="178">
        <f>IF(T90=0,0,(L90-T90)/T90)</f>
        <v>0</v>
      </c>
      <c r="S90" s="100">
        <v>950</v>
      </c>
      <c r="T90" s="109">
        <v>0</v>
      </c>
      <c r="U90" s="13"/>
      <c r="V90" s="13"/>
      <c r="W90" s="13"/>
      <c r="X90" s="13"/>
      <c r="Y90" s="104">
        <v>1200</v>
      </c>
      <c r="Z90" s="104">
        <v>1214.94</v>
      </c>
      <c r="AA90" s="104">
        <v>1215</v>
      </c>
      <c r="AB90" s="144">
        <f>(AA90-Y90)/Y90</f>
        <v>0.0125</v>
      </c>
      <c r="AC90" s="61">
        <v>6</v>
      </c>
      <c r="AD90" s="13"/>
    </row>
    <row r="91" ht="15.75" customHeight="1">
      <c r="A91" t="s" s="102">
        <v>175</v>
      </c>
      <c r="B91" t="s" s="103">
        <v>176</v>
      </c>
      <c r="C91" s="104">
        <v>19412.27</v>
      </c>
      <c r="D91" s="104">
        <v>19959.27</v>
      </c>
      <c r="E91" s="105">
        <v>19657.36</v>
      </c>
      <c r="F91" s="105">
        <v>19691.94</v>
      </c>
      <c r="G91" s="104">
        <v>19415.5</v>
      </c>
      <c r="H91" s="104">
        <v>20534.1</v>
      </c>
      <c r="I91" s="104">
        <v>21118.83</v>
      </c>
      <c r="J91" s="106">
        <v>24198.73</v>
      </c>
      <c r="K91" s="97"/>
      <c r="L91" s="104">
        <v>19691.94</v>
      </c>
      <c r="M91" s="104">
        <v>20939.5</v>
      </c>
      <c r="N91" s="104">
        <v>20497.94</v>
      </c>
      <c r="O91" s="104">
        <v>18788.73</v>
      </c>
      <c r="P91" t="s" s="143">
        <v>177</v>
      </c>
      <c r="Q91" s="107">
        <v>19415.5</v>
      </c>
      <c r="R91" s="178">
        <f>IF(T91=0,0,(L91-T91)/T91)</f>
        <v>-0.01540300000000007</v>
      </c>
      <c r="S91" s="100">
        <f>19759*0+20000</f>
        <v>20000</v>
      </c>
      <c r="T91" s="109">
        <v>20000</v>
      </c>
      <c r="U91" s="13"/>
      <c r="V91" s="13"/>
      <c r="W91" s="13"/>
      <c r="X91" s="13"/>
      <c r="Y91" s="104">
        <v>16520</v>
      </c>
      <c r="Z91" s="104">
        <v>16599.7</v>
      </c>
      <c r="AA91" s="104">
        <v>16600</v>
      </c>
      <c r="AB91" s="144">
        <f>(AA91-Y91)/Y91</f>
        <v>0.004842615012106538</v>
      </c>
      <c r="AC91" s="61">
        <v>7</v>
      </c>
      <c r="AD91" s="13"/>
    </row>
    <row r="92" ht="15.75" customHeight="1">
      <c r="A92" t="s" s="102">
        <v>178</v>
      </c>
      <c r="B92" t="s" s="103">
        <v>179</v>
      </c>
      <c r="C92" s="220">
        <v>0</v>
      </c>
      <c r="D92" s="221">
        <v>2164.2</v>
      </c>
      <c r="E92" s="222">
        <v>5346</v>
      </c>
      <c r="F92" s="222">
        <v>0</v>
      </c>
      <c r="G92" s="170"/>
      <c r="H92" s="170">
        <v>0</v>
      </c>
      <c r="I92" s="170">
        <v>0</v>
      </c>
      <c r="J92" s="215">
        <v>0</v>
      </c>
      <c r="K92" s="97"/>
      <c r="L92" s="170">
        <v>5546.3</v>
      </c>
      <c r="M92" s="170">
        <v>8949.16</v>
      </c>
      <c r="N92" s="104">
        <v>8284.780000000001</v>
      </c>
      <c r="O92" s="104">
        <v>9201.959999999999</v>
      </c>
      <c r="P92" s="107"/>
      <c r="Q92" s="223"/>
      <c r="R92" s="178">
        <f>IF(T92=0,0,(L92-T92)/T92)</f>
        <v>0</v>
      </c>
      <c r="S92" s="100">
        <v>300</v>
      </c>
      <c r="T92" s="224">
        <v>0</v>
      </c>
      <c r="U92" s="13"/>
      <c r="V92" s="13"/>
      <c r="W92" s="13"/>
      <c r="X92" s="13"/>
      <c r="Y92" s="104">
        <v>8019</v>
      </c>
      <c r="Z92" s="104">
        <v>5706.85</v>
      </c>
      <c r="AA92" s="104">
        <v>5707</v>
      </c>
      <c r="AB92" s="144">
        <f>(AA92-Y92)/Y92</f>
        <v>-0.2883152512782142</v>
      </c>
      <c r="AC92" s="13"/>
      <c r="AD92" s="13"/>
    </row>
    <row r="93" ht="15.75" customHeight="1">
      <c r="A93" t="s" s="102">
        <v>180</v>
      </c>
      <c r="B93" t="s" s="225">
        <v>181</v>
      </c>
      <c r="C93" s="170">
        <f>6456.5-622-893.66-809.18</f>
        <v>4131.66</v>
      </c>
      <c r="D93" s="106">
        <v>3591.47</v>
      </c>
      <c r="E93" s="226">
        <v>40567.43</v>
      </c>
      <c r="F93" s="226">
        <v>4779.83</v>
      </c>
      <c r="G93" s="227">
        <f>25856.82-14493.64-600-846.7-920.28</f>
        <v>8996.199999999999</v>
      </c>
      <c r="H93" s="227">
        <v>28641.24</v>
      </c>
      <c r="I93" s="227">
        <v>19013.29</v>
      </c>
      <c r="J93" s="227">
        <v>10319.15</v>
      </c>
      <c r="K93" s="227"/>
      <c r="L93" s="227">
        <v>14579.11</v>
      </c>
      <c r="M93" s="227">
        <v>7922.26</v>
      </c>
      <c r="N93" s="109">
        <v>0</v>
      </c>
      <c r="O93" s="104">
        <v>0</v>
      </c>
      <c r="P93" t="s" s="143">
        <v>182</v>
      </c>
      <c r="Q93" s="213">
        <f>25856.82-17393.97</f>
        <v>8462.849999999999</v>
      </c>
      <c r="R93" s="178">
        <f>IF(T93=0,0,(L93-T93)/T93)</f>
        <v>3.417912121212122</v>
      </c>
      <c r="S93" s="100">
        <f>5700-950-624-1150+424</f>
        <v>3400</v>
      </c>
      <c r="T93" s="109">
        <v>3300</v>
      </c>
      <c r="U93" s="13"/>
      <c r="V93" s="13"/>
      <c r="W93" s="13"/>
      <c r="X93" s="13"/>
      <c r="Y93" s="104">
        <v>0</v>
      </c>
      <c r="Z93" s="104">
        <v>0</v>
      </c>
      <c r="AA93" s="104">
        <v>0</v>
      </c>
      <c r="AB93" s="144"/>
      <c r="AC93" s="13"/>
      <c r="AD93" s="13"/>
    </row>
    <row r="94" ht="15.75" customHeight="1" hidden="1">
      <c r="A94" t="s" s="102">
        <v>180</v>
      </c>
      <c r="B94" t="s" s="225">
        <v>183</v>
      </c>
      <c r="C94" s="228">
        <f>8350.61*0</f>
        <v>0</v>
      </c>
      <c r="D94" s="229">
        <f t="shared" si="287" ref="D94:F94">25259.65*0</f>
        <v>0</v>
      </c>
      <c r="E94" s="230">
        <f t="shared" si="287"/>
        <v>0</v>
      </c>
      <c r="F94" s="230">
        <f t="shared" si="287"/>
        <v>0</v>
      </c>
      <c r="G94" s="231"/>
      <c r="H94" s="231"/>
      <c r="I94" s="231"/>
      <c r="J94" s="231"/>
      <c r="K94" s="231"/>
      <c r="L94" s="231">
        <v>0</v>
      </c>
      <c r="M94" s="231"/>
      <c r="N94" s="109"/>
      <c r="O94" s="104"/>
      <c r="P94" s="232"/>
      <c r="Q94" s="213">
        <f>34934.51+17393.97+795.95+20250+5172.29</f>
        <v>78546.719999999987</v>
      </c>
      <c r="R94" s="178">
        <f>IF(T94=0,0,(L94-T94)/T94)</f>
        <v>0</v>
      </c>
      <c r="S94" s="100">
        <f t="shared" si="292" ref="S94:Y94">(30000+950+1800+950)*0</f>
        <v>0</v>
      </c>
      <c r="T94" s="109"/>
      <c r="U94" s="13"/>
      <c r="V94" s="13"/>
      <c r="W94" s="13"/>
      <c r="X94" s="13"/>
      <c r="Y94" s="104">
        <f t="shared" si="292"/>
        <v>0</v>
      </c>
      <c r="Z94" s="104"/>
      <c r="AA94" s="104"/>
      <c r="AB94" s="144">
        <f>(AA94-Y94)/Y94</f>
      </c>
      <c r="AC94" s="13"/>
      <c r="AD94" s="13"/>
    </row>
    <row r="95" ht="9.75" customHeight="1">
      <c r="A95" s="13"/>
      <c r="B95" s="13"/>
      <c r="C95" s="233"/>
      <c r="D95" s="234"/>
      <c r="E95" s="235"/>
      <c r="F95" s="235"/>
      <c r="G95" s="236"/>
      <c r="H95" s="233"/>
      <c r="I95" s="233"/>
      <c r="J95" s="237"/>
      <c r="K95" s="238"/>
      <c r="L95" s="233"/>
      <c r="M95" s="233"/>
      <c r="N95" s="234"/>
      <c r="O95" s="234"/>
      <c r="P95" s="13"/>
      <c r="Q95" s="122"/>
      <c r="R95" s="91"/>
      <c r="S95" s="239"/>
      <c r="T95" s="240"/>
      <c r="U95" s="13"/>
      <c r="V95" s="13"/>
      <c r="W95" s="13"/>
      <c r="X95" s="13"/>
      <c r="Y95" s="234"/>
      <c r="Z95" s="234"/>
      <c r="AA95" s="234"/>
      <c r="AB95" s="144"/>
      <c r="AC95" s="13"/>
      <c r="AD95" s="13"/>
    </row>
    <row r="96" ht="15.75" customHeight="1">
      <c r="A96" s="102"/>
      <c r="B96" t="s" s="125">
        <v>184</v>
      </c>
      <c r="C96" s="126">
        <f>SUM(C85:C95)</f>
        <v>58293.27</v>
      </c>
      <c r="D96" s="126">
        <f>SUM(D85:D95)</f>
        <v>53562.57</v>
      </c>
      <c r="E96" s="127">
        <f>SUM(E85:E95)</f>
        <v>95433.010000000009</v>
      </c>
      <c r="F96" s="127">
        <f>SUM(F85:F95)</f>
        <v>50095.740000000005</v>
      </c>
      <c r="G96" s="126">
        <f>SUM(G85:G95)</f>
        <v>66135.34</v>
      </c>
      <c r="H96" s="126">
        <f>SUM(H85:H95)</f>
        <v>75353.509999999995</v>
      </c>
      <c r="I96" s="126">
        <f>SUM(I85:I95)</f>
        <v>67045.41</v>
      </c>
      <c r="J96" s="128">
        <f>SUM(J85:J95)</f>
        <v>70060.98</v>
      </c>
      <c r="K96" s="241"/>
      <c r="L96" s="126">
        <v>69114.350000000006</v>
      </c>
      <c r="M96" s="126">
        <f>SUM(M85:M95)</f>
        <v>61837.21</v>
      </c>
      <c r="N96" s="126">
        <f>SUM(N85:N95)</f>
        <v>60294.97</v>
      </c>
      <c r="O96" s="126">
        <f>SUM(O85:O95)</f>
        <v>60791.76</v>
      </c>
      <c r="P96" s="242"/>
      <c r="Q96" s="131">
        <f>SUM(Q85:Q95)</f>
        <v>141781.73</v>
      </c>
      <c r="R96" s="178">
        <f>IF(T96=0,0,(L96-T96)/T96)</f>
        <v>0.2870456238361268</v>
      </c>
      <c r="S96" s="132">
        <f>SUM(S85:S95)</f>
        <v>53324</v>
      </c>
      <c r="T96" s="133">
        <f>SUM(T85:T95)</f>
        <v>53700</v>
      </c>
      <c r="U96" s="13"/>
      <c r="V96" s="13"/>
      <c r="W96" s="13"/>
      <c r="X96" s="13"/>
      <c r="Y96" s="126">
        <f>SUM(Y85:Y95)</f>
        <v>57559</v>
      </c>
      <c r="Z96" s="126">
        <f>SUM(Z85:Z95)</f>
        <v>38983.54</v>
      </c>
      <c r="AA96" s="126">
        <f>SUM(AA85:AA95)</f>
        <v>54905</v>
      </c>
      <c r="AB96" s="243">
        <f>(AA96-Y96)/Y96</f>
        <v>-0.04610920968050174</v>
      </c>
      <c r="AC96" s="13"/>
      <c r="AD96" s="13"/>
    </row>
    <row r="97" ht="8.25" customHeight="1">
      <c r="A97" s="102"/>
      <c r="B97" s="62"/>
      <c r="C97" s="244"/>
      <c r="D97" s="244"/>
      <c r="E97" s="245"/>
      <c r="F97" s="245"/>
      <c r="G97" s="244"/>
      <c r="H97" s="244"/>
      <c r="I97" s="244"/>
      <c r="J97" s="246"/>
      <c r="K97" s="247"/>
      <c r="L97" s="248"/>
      <c r="M97" s="248"/>
      <c r="N97" s="248"/>
      <c r="O97" s="248"/>
      <c r="P97" s="242"/>
      <c r="Q97" s="249"/>
      <c r="R97" s="91"/>
      <c r="S97" s="250"/>
      <c r="T97" s="251"/>
      <c r="U97" s="13"/>
      <c r="V97" s="13"/>
      <c r="W97" s="13"/>
      <c r="X97" s="13"/>
      <c r="Y97" s="248"/>
      <c r="Z97" s="248"/>
      <c r="AA97" s="248"/>
      <c r="AB97" s="243"/>
      <c r="AC97" s="13"/>
      <c r="AD97" s="13"/>
    </row>
    <row r="98" ht="9" customHeight="1">
      <c r="A98" s="102"/>
      <c r="B98" s="62"/>
      <c r="C98" s="252"/>
      <c r="D98" s="252"/>
      <c r="E98" s="253"/>
      <c r="F98" s="253"/>
      <c r="G98" s="252"/>
      <c r="H98" s="252"/>
      <c r="I98" s="252"/>
      <c r="J98" s="254"/>
      <c r="K98" s="255"/>
      <c r="L98" s="252"/>
      <c r="M98" s="252"/>
      <c r="N98" s="252"/>
      <c r="O98" s="252"/>
      <c r="P98" s="242"/>
      <c r="Q98" s="256"/>
      <c r="R98" s="91"/>
      <c r="S98" s="123"/>
      <c r="T98" s="257"/>
      <c r="U98" s="13"/>
      <c r="V98" s="13"/>
      <c r="W98" s="13"/>
      <c r="X98" s="13"/>
      <c r="Y98" s="252"/>
      <c r="Z98" s="252"/>
      <c r="AA98" s="252"/>
      <c r="AB98" s="243"/>
      <c r="AC98" s="13"/>
      <c r="AD98" s="13"/>
    </row>
    <row r="99" ht="15.75" customHeight="1">
      <c r="A99" s="258"/>
      <c r="B99" t="s" s="125">
        <v>185</v>
      </c>
      <c r="C99" s="259">
        <f>C82+C96</f>
        <v>76340.86</v>
      </c>
      <c r="D99" s="259">
        <f>D82+D96</f>
        <v>70611.3</v>
      </c>
      <c r="E99" s="260">
        <f>E82+E96</f>
        <v>113977.51</v>
      </c>
      <c r="F99" s="260">
        <f>F82+F96</f>
        <v>64491.95</v>
      </c>
      <c r="G99" s="126">
        <f>G82+G96</f>
        <v>85532.739999999991</v>
      </c>
      <c r="H99" s="259">
        <f>H82+H96</f>
        <v>89426.09</v>
      </c>
      <c r="I99" s="259">
        <f>I82+I96</f>
        <v>78833.070000000007</v>
      </c>
      <c r="J99" s="261">
        <f>J82+J96</f>
        <v>84319.3</v>
      </c>
      <c r="K99" s="262"/>
      <c r="L99" s="259">
        <v>84705</v>
      </c>
      <c r="M99" s="259">
        <f>M96+M82</f>
        <v>77008.56</v>
      </c>
      <c r="N99" s="259">
        <f>N96+N82</f>
        <v>75625.89</v>
      </c>
      <c r="O99" s="259">
        <f>O96+O82</f>
        <v>84666.427</v>
      </c>
      <c r="P99" s="12"/>
      <c r="Q99" s="131"/>
      <c r="R99" s="263">
        <f>IF(T99=0,0,(L99-T99)/T99)</f>
        <v>0.1486981285598047</v>
      </c>
      <c r="S99" s="264">
        <f>S82+S96</f>
        <v>71514</v>
      </c>
      <c r="T99" s="265">
        <f>T82+T96</f>
        <v>73740</v>
      </c>
      <c r="U99" s="13"/>
      <c r="V99" s="13"/>
      <c r="W99" s="13"/>
      <c r="X99" s="13"/>
      <c r="Y99" s="259">
        <f>Y96+Y82</f>
        <v>74984</v>
      </c>
      <c r="Z99" s="259">
        <f>Z96+Z82</f>
        <v>51429.14</v>
      </c>
      <c r="AA99" s="259">
        <f>AA96+AA82</f>
        <v>63869</v>
      </c>
      <c r="AB99" s="243">
        <f>(AA99-Y99)/Y99</f>
        <v>-0.1482316227461858</v>
      </c>
      <c r="AC99" s="13"/>
      <c r="AD99" s="13"/>
    </row>
    <row r="100" ht="15.75" customHeight="1">
      <c r="A100" s="102"/>
      <c r="B100" s="62"/>
      <c r="C100" s="136"/>
      <c r="D100" s="136"/>
      <c r="E100" s="137"/>
      <c r="F100" s="137"/>
      <c r="G100" s="136"/>
      <c r="H100" s="136"/>
      <c r="I100" s="136"/>
      <c r="J100" s="138"/>
      <c r="K100" s="97"/>
      <c r="L100" s="136"/>
      <c r="M100" s="136"/>
      <c r="N100" s="136"/>
      <c r="O100" s="136"/>
      <c r="P100" s="107"/>
      <c r="Q100" s="139"/>
      <c r="R100" s="91"/>
      <c r="S100" s="140"/>
      <c r="T100" s="141"/>
      <c r="U100" s="13"/>
      <c r="V100" s="13"/>
      <c r="W100" s="13"/>
      <c r="X100" s="13"/>
      <c r="Y100" s="136"/>
      <c r="Z100" s="136"/>
      <c r="AA100" s="136"/>
      <c r="AB100" s="144"/>
      <c r="AC100" s="13"/>
      <c r="AD100" s="13"/>
    </row>
    <row r="101" ht="15.75" customHeight="1">
      <c r="A101" t="s" s="125">
        <v>186</v>
      </c>
      <c r="B101" s="13"/>
      <c r="C101" s="104"/>
      <c r="D101" s="104"/>
      <c r="E101" s="105"/>
      <c r="F101" s="105"/>
      <c r="G101" s="104"/>
      <c r="H101" s="104"/>
      <c r="I101" s="104"/>
      <c r="J101" s="106"/>
      <c r="K101" s="97"/>
      <c r="L101" s="104"/>
      <c r="M101" s="104"/>
      <c r="N101" s="104"/>
      <c r="O101" s="104"/>
      <c r="P101" s="107"/>
      <c r="Q101" s="13"/>
      <c r="R101" s="91"/>
      <c r="S101" s="100"/>
      <c r="T101" s="109"/>
      <c r="U101" s="13"/>
      <c r="V101" s="13"/>
      <c r="W101" s="13"/>
      <c r="X101" s="13"/>
      <c r="Y101" s="104"/>
      <c r="Z101" s="104"/>
      <c r="AA101" s="104"/>
      <c r="AB101" s="144"/>
      <c r="AC101" s="13"/>
      <c r="AD101" s="13"/>
    </row>
    <row r="102" ht="15.75" customHeight="1">
      <c r="A102" t="s" s="102">
        <v>187</v>
      </c>
      <c r="B102" t="s" s="103">
        <v>188</v>
      </c>
      <c r="C102" s="104">
        <v>230</v>
      </c>
      <c r="D102" s="104">
        <v>729.74</v>
      </c>
      <c r="E102" s="105">
        <v>660</v>
      </c>
      <c r="F102" s="105">
        <v>240</v>
      </c>
      <c r="G102" s="104">
        <v>460.8</v>
      </c>
      <c r="H102" s="104">
        <v>1084.45</v>
      </c>
      <c r="I102" s="104">
        <v>129</v>
      </c>
      <c r="J102" s="106">
        <v>66.06</v>
      </c>
      <c r="K102" s="97"/>
      <c r="L102" s="104">
        <v>240</v>
      </c>
      <c r="M102" s="104">
        <v>1025.1</v>
      </c>
      <c r="N102" s="104">
        <v>475.57</v>
      </c>
      <c r="O102" s="104">
        <v>310.16</v>
      </c>
      <c r="P102" t="s" s="143">
        <v>182</v>
      </c>
      <c r="Q102" s="107">
        <v>460.8</v>
      </c>
      <c r="R102" s="178">
        <f>IF(T102=0,0,(L102-T102)/T102)</f>
        <v>-0.84</v>
      </c>
      <c r="S102" s="100">
        <v>750</v>
      </c>
      <c r="T102" s="109">
        <v>1500</v>
      </c>
      <c r="U102" s="13"/>
      <c r="V102" s="13"/>
      <c r="W102" s="13"/>
      <c r="X102" s="13"/>
      <c r="Y102" s="104">
        <v>500</v>
      </c>
      <c r="Z102" s="104">
        <v>451.97</v>
      </c>
      <c r="AA102" s="199">
        <v>500</v>
      </c>
      <c r="AB102" s="144">
        <f>(AA102-Y102)/Y102</f>
        <v>0</v>
      </c>
      <c r="AC102" s="13"/>
      <c r="AD102" s="13"/>
    </row>
    <row r="103" ht="15.75" customHeight="1">
      <c r="A103" t="s" s="102">
        <v>189</v>
      </c>
      <c r="B103" t="s" s="103">
        <v>190</v>
      </c>
      <c r="C103" s="104">
        <v>700.91</v>
      </c>
      <c r="D103" s="104">
        <v>963.66</v>
      </c>
      <c r="E103" s="105">
        <v>718.55</v>
      </c>
      <c r="F103" s="105">
        <v>324.12</v>
      </c>
      <c r="G103" s="104">
        <v>545.5</v>
      </c>
      <c r="H103" s="104">
        <v>497.97</v>
      </c>
      <c r="I103" s="104">
        <v>1285.06</v>
      </c>
      <c r="J103" s="106">
        <v>801.96</v>
      </c>
      <c r="K103" s="97"/>
      <c r="L103" s="104">
        <v>417.56</v>
      </c>
      <c r="M103" s="104">
        <v>252.98</v>
      </c>
      <c r="N103" s="104">
        <v>558.1</v>
      </c>
      <c r="O103" s="104">
        <v>0</v>
      </c>
      <c r="P103" s="107"/>
      <c r="Q103" s="107">
        <v>545.5</v>
      </c>
      <c r="R103" s="178">
        <f>IF(T103=0,0,(L103-T103)/T103)</f>
        <v>-0.5360444444444444</v>
      </c>
      <c r="S103" s="100">
        <v>900</v>
      </c>
      <c r="T103" s="109">
        <v>900</v>
      </c>
      <c r="U103" s="13"/>
      <c r="V103" s="13"/>
      <c r="W103" s="13"/>
      <c r="X103" s="13"/>
      <c r="Y103" s="104">
        <v>500</v>
      </c>
      <c r="Z103" s="104">
        <v>0</v>
      </c>
      <c r="AA103" s="104">
        <v>0</v>
      </c>
      <c r="AB103" s="144">
        <f>(AA103-Y103)/Y103</f>
        <v>-1</v>
      </c>
      <c r="AC103" s="13"/>
      <c r="AD103" s="13"/>
    </row>
    <row r="104" ht="15.75" customHeight="1">
      <c r="A104" t="s" s="102">
        <v>191</v>
      </c>
      <c r="B104" t="s" s="103">
        <v>192</v>
      </c>
      <c r="C104" s="104">
        <v>296.66</v>
      </c>
      <c r="D104" s="104">
        <v>134.96</v>
      </c>
      <c r="E104" s="105">
        <v>139.81</v>
      </c>
      <c r="F104" s="105">
        <v>35</v>
      </c>
      <c r="G104" s="104">
        <v>221.6</v>
      </c>
      <c r="H104" s="104">
        <v>156.24</v>
      </c>
      <c r="I104" s="104">
        <v>411.7</v>
      </c>
      <c r="J104" s="106">
        <v>518.8099999999999</v>
      </c>
      <c r="K104" s="97"/>
      <c r="L104" s="104">
        <v>210.29</v>
      </c>
      <c r="M104" s="104">
        <v>251.81</v>
      </c>
      <c r="N104" s="104">
        <v>87.77</v>
      </c>
      <c r="O104" s="104">
        <v>0</v>
      </c>
      <c r="P104" s="107"/>
      <c r="Q104" s="107">
        <v>221.6</v>
      </c>
      <c r="R104" s="178">
        <f>IF(T104=0,0,(L104-T104)/T104)</f>
        <v>-0.5326888888888889</v>
      </c>
      <c r="S104" s="100">
        <v>450</v>
      </c>
      <c r="T104" s="109">
        <v>450</v>
      </c>
      <c r="U104" s="13"/>
      <c r="V104" s="13"/>
      <c r="W104" s="13"/>
      <c r="X104" s="13"/>
      <c r="Y104" s="104">
        <v>250</v>
      </c>
      <c r="Z104" s="104">
        <v>0</v>
      </c>
      <c r="AA104" s="104">
        <v>0</v>
      </c>
      <c r="AB104" s="144">
        <f>(AA104-Y104)/Y104</f>
        <v>-1</v>
      </c>
      <c r="AC104" s="13"/>
      <c r="AD104" s="13"/>
    </row>
    <row r="105" ht="15.75" customHeight="1">
      <c r="A105" t="s" s="102">
        <v>193</v>
      </c>
      <c r="B105" t="s" s="103">
        <v>194</v>
      </c>
      <c r="C105" s="104">
        <v>-15</v>
      </c>
      <c r="D105" s="104">
        <v>282.91</v>
      </c>
      <c r="E105" s="105">
        <v>0</v>
      </c>
      <c r="F105" s="105">
        <v>0</v>
      </c>
      <c r="G105" s="104">
        <v>784.35</v>
      </c>
      <c r="H105" s="104">
        <v>0</v>
      </c>
      <c r="I105" s="104">
        <v>0</v>
      </c>
      <c r="J105" s="106">
        <v>0</v>
      </c>
      <c r="K105" s="97"/>
      <c r="L105" s="104">
        <v>0</v>
      </c>
      <c r="M105" s="104">
        <v>499.48</v>
      </c>
      <c r="N105" s="104">
        <v>246.348</v>
      </c>
      <c r="O105" s="104">
        <v>229.98</v>
      </c>
      <c r="P105" s="107"/>
      <c r="Q105" s="107">
        <v>784.35</v>
      </c>
      <c r="R105" s="178">
        <f>IF(T105=0,0,(L105-T105)/T105)</f>
        <v>-1</v>
      </c>
      <c r="S105" s="100">
        <v>150</v>
      </c>
      <c r="T105" s="109">
        <v>150</v>
      </c>
      <c r="U105" s="13"/>
      <c r="V105" s="13"/>
      <c r="W105" s="13"/>
      <c r="X105" s="13"/>
      <c r="Y105" s="104">
        <v>300</v>
      </c>
      <c r="Z105" s="104">
        <v>83.03</v>
      </c>
      <c r="AA105" s="104">
        <v>84</v>
      </c>
      <c r="AB105" s="144">
        <f>(AA105-Y105)/Y105</f>
        <v>-0.72</v>
      </c>
      <c r="AC105" s="13"/>
      <c r="AD105" s="13"/>
    </row>
    <row r="106" ht="15.75" customHeight="1">
      <c r="A106" t="s" s="102">
        <v>195</v>
      </c>
      <c r="B106" t="s" s="103">
        <v>196</v>
      </c>
      <c r="C106" s="104">
        <v>594.26</v>
      </c>
      <c r="D106" s="104">
        <v>0</v>
      </c>
      <c r="E106" s="105">
        <v>0</v>
      </c>
      <c r="F106" s="105">
        <v>0</v>
      </c>
      <c r="G106" s="104">
        <v>171</v>
      </c>
      <c r="H106" s="104">
        <v>275.65</v>
      </c>
      <c r="I106" s="104">
        <v>422.31</v>
      </c>
      <c r="J106" s="106">
        <v>0</v>
      </c>
      <c r="K106" s="97"/>
      <c r="L106" s="104">
        <v>0</v>
      </c>
      <c r="M106" s="104">
        <v>21</v>
      </c>
      <c r="N106" s="104">
        <v>0</v>
      </c>
      <c r="O106" s="104">
        <v>291.4</v>
      </c>
      <c r="P106" s="107"/>
      <c r="Q106" s="107">
        <v>171</v>
      </c>
      <c r="R106" s="178">
        <f>IF(T106=0,0,(L106-T106)/T106)</f>
        <v>-1</v>
      </c>
      <c r="S106" s="100">
        <v>350</v>
      </c>
      <c r="T106" s="109">
        <v>350</v>
      </c>
      <c r="U106" s="13"/>
      <c r="V106" s="13"/>
      <c r="W106" s="13"/>
      <c r="X106" s="13"/>
      <c r="Y106" s="104">
        <v>50</v>
      </c>
      <c r="Z106" s="104">
        <v>0</v>
      </c>
      <c r="AA106" s="199">
        <v>0</v>
      </c>
      <c r="AB106" s="144">
        <f>(AA106-Y106)/Y106</f>
        <v>-1</v>
      </c>
      <c r="AC106" s="13"/>
      <c r="AD106" s="13"/>
    </row>
    <row r="107" ht="15.75" customHeight="1">
      <c r="A107" t="s" s="102">
        <v>197</v>
      </c>
      <c r="B107" t="s" s="103">
        <v>198</v>
      </c>
      <c r="C107" s="104">
        <v>1629.46</v>
      </c>
      <c r="D107" s="104">
        <v>1938.13</v>
      </c>
      <c r="E107" s="105">
        <v>1101.03</v>
      </c>
      <c r="F107" s="105">
        <v>731.58</v>
      </c>
      <c r="G107" s="104">
        <v>2563.51</v>
      </c>
      <c r="H107" s="104">
        <v>1081.87</v>
      </c>
      <c r="I107" s="104">
        <v>1673.94</v>
      </c>
      <c r="J107" s="106">
        <v>803.63</v>
      </c>
      <c r="K107" s="97"/>
      <c r="L107" s="104">
        <v>731.58</v>
      </c>
      <c r="M107" s="104">
        <v>1122.37</v>
      </c>
      <c r="N107" s="104">
        <v>1150.35</v>
      </c>
      <c r="O107" s="104">
        <v>989.66</v>
      </c>
      <c r="P107" s="232"/>
      <c r="Q107" s="213">
        <f>2563.51-795.95</f>
        <v>1767.56</v>
      </c>
      <c r="R107" s="178">
        <f>IF(T107=0,0,(L107-T107)/T107)</f>
        <v>-0.6342100000000001</v>
      </c>
      <c r="S107" s="100">
        <v>2000</v>
      </c>
      <c r="T107" s="109">
        <v>2000</v>
      </c>
      <c r="U107" s="13"/>
      <c r="V107" s="13"/>
      <c r="W107" s="13"/>
      <c r="X107" s="13"/>
      <c r="Y107" s="104">
        <v>1150</v>
      </c>
      <c r="Z107" s="104">
        <v>503.21</v>
      </c>
      <c r="AA107" s="199">
        <v>200</v>
      </c>
      <c r="AB107" s="144">
        <f>(AA107-Y107)/Y107</f>
        <v>-0.8260869565217391</v>
      </c>
      <c r="AC107" s="13"/>
      <c r="AD107" s="13"/>
    </row>
    <row r="108" ht="15.75" customHeight="1">
      <c r="A108" t="s" s="102">
        <v>199</v>
      </c>
      <c r="B108" t="s" s="103">
        <v>200</v>
      </c>
      <c r="C108" s="104">
        <v>218.28</v>
      </c>
      <c r="D108" s="104">
        <v>308.97</v>
      </c>
      <c r="E108" s="105">
        <v>276.09</v>
      </c>
      <c r="F108" s="105">
        <v>875.11</v>
      </c>
      <c r="G108" s="104">
        <v>98.23999999999999</v>
      </c>
      <c r="H108" s="104">
        <v>277.98</v>
      </c>
      <c r="I108" s="104">
        <v>280.29</v>
      </c>
      <c r="J108" s="106">
        <v>622.03</v>
      </c>
      <c r="K108" s="97"/>
      <c r="L108" s="104">
        <v>895.35</v>
      </c>
      <c r="M108" s="104">
        <v>1251.93</v>
      </c>
      <c r="N108" s="104">
        <v>1784.77</v>
      </c>
      <c r="O108" s="104">
        <v>-415.69</v>
      </c>
      <c r="P108" t="s" s="143">
        <v>201</v>
      </c>
      <c r="Q108" s="107">
        <v>98.23999999999999</v>
      </c>
      <c r="R108" s="178">
        <f>IF(T108=0,0,(L108-T108)/T108)</f>
        <v>1.9845</v>
      </c>
      <c r="S108" s="100">
        <v>300</v>
      </c>
      <c r="T108" s="109">
        <v>300</v>
      </c>
      <c r="U108" s="13"/>
      <c r="V108" s="13"/>
      <c r="W108" s="13"/>
      <c r="X108" s="13"/>
      <c r="Y108" s="104">
        <v>0</v>
      </c>
      <c r="Z108" s="104">
        <v>412.88</v>
      </c>
      <c r="AA108" s="104">
        <v>410</v>
      </c>
      <c r="AB108" s="144"/>
      <c r="AC108" s="61">
        <v>8</v>
      </c>
      <c r="AD108" s="13"/>
    </row>
    <row r="109" ht="15.75" customHeight="1">
      <c r="A109" t="s" s="102">
        <v>202</v>
      </c>
      <c r="B109" t="s" s="103">
        <v>203</v>
      </c>
      <c r="C109" s="104">
        <v>168.45</v>
      </c>
      <c r="D109" s="104">
        <v>182.3</v>
      </c>
      <c r="E109" s="105">
        <v>80.81</v>
      </c>
      <c r="F109" s="105">
        <v>117.5</v>
      </c>
      <c r="G109" s="104">
        <v>155.11</v>
      </c>
      <c r="H109" s="104">
        <v>163.92</v>
      </c>
      <c r="I109" s="104">
        <v>149.27</v>
      </c>
      <c r="J109" s="106">
        <v>61.88</v>
      </c>
      <c r="K109" s="97"/>
      <c r="L109" s="104">
        <v>117.5</v>
      </c>
      <c r="M109" s="104">
        <v>179</v>
      </c>
      <c r="N109" s="104">
        <v>35.43</v>
      </c>
      <c r="O109" s="104">
        <v>0</v>
      </c>
      <c r="P109" s="107"/>
      <c r="Q109" s="107">
        <v>155.11</v>
      </c>
      <c r="R109" s="178">
        <f>IF(T109=0,0,(L109-T109)/T109)</f>
        <v>-0.53</v>
      </c>
      <c r="S109" s="100">
        <v>250</v>
      </c>
      <c r="T109" s="109">
        <v>250</v>
      </c>
      <c r="U109" s="13"/>
      <c r="V109" s="13"/>
      <c r="W109" s="13"/>
      <c r="X109" s="13"/>
      <c r="Y109" s="104">
        <v>100</v>
      </c>
      <c r="Z109" s="104">
        <v>0</v>
      </c>
      <c r="AA109" s="104">
        <v>0</v>
      </c>
      <c r="AB109" s="144">
        <f>(AA109-Y109)/Y109</f>
        <v>-1</v>
      </c>
      <c r="AC109" s="13"/>
      <c r="AD109" s="13"/>
    </row>
    <row r="110" ht="15.75" customHeight="1">
      <c r="A110" t="s" s="102">
        <v>204</v>
      </c>
      <c r="B110" t="s" s="103">
        <v>205</v>
      </c>
      <c r="C110" s="104">
        <v>0</v>
      </c>
      <c r="D110" s="104">
        <v>0</v>
      </c>
      <c r="E110" s="105">
        <v>0</v>
      </c>
      <c r="F110" s="105">
        <v>0</v>
      </c>
      <c r="G110" s="104">
        <v>0</v>
      </c>
      <c r="H110" s="104">
        <v>0</v>
      </c>
      <c r="I110" s="104">
        <v>0</v>
      </c>
      <c r="J110" s="106">
        <v>145.11</v>
      </c>
      <c r="K110" s="97"/>
      <c r="L110" s="104">
        <v>0</v>
      </c>
      <c r="M110" s="104">
        <v>3382</v>
      </c>
      <c r="N110" s="104">
        <v>41.51</v>
      </c>
      <c r="O110" s="104">
        <v>0</v>
      </c>
      <c r="P110" s="107"/>
      <c r="Q110" s="107">
        <v>0</v>
      </c>
      <c r="R110" s="178">
        <f>IF(T110=0,0,(L110-T110)/T110)</f>
        <v>0</v>
      </c>
      <c r="S110" s="100">
        <v>0</v>
      </c>
      <c r="T110" s="109">
        <v>0</v>
      </c>
      <c r="U110" s="13"/>
      <c r="V110" s="13"/>
      <c r="W110" s="13"/>
      <c r="X110" s="13"/>
      <c r="Y110" s="104">
        <v>50</v>
      </c>
      <c r="Z110" s="104">
        <v>0</v>
      </c>
      <c r="AA110" s="104">
        <v>0</v>
      </c>
      <c r="AB110" s="144">
        <f>(AA110-Y110)/Y110</f>
        <v>-1</v>
      </c>
      <c r="AC110" s="13"/>
      <c r="AD110" s="13"/>
    </row>
    <row r="111" ht="15.75" customHeight="1">
      <c r="A111" t="s" s="102">
        <v>206</v>
      </c>
      <c r="B111" t="s" s="103">
        <v>207</v>
      </c>
      <c r="C111" s="104">
        <v>1800</v>
      </c>
      <c r="D111" s="104">
        <v>1980</v>
      </c>
      <c r="E111" s="105">
        <v>3600</v>
      </c>
      <c r="F111" s="105">
        <v>3300</v>
      </c>
      <c r="G111" s="104">
        <v>1800</v>
      </c>
      <c r="H111" s="104">
        <v>1650</v>
      </c>
      <c r="I111" s="104">
        <v>1730.86</v>
      </c>
      <c r="J111" s="106">
        <v>1800</v>
      </c>
      <c r="K111" s="97"/>
      <c r="L111" s="104">
        <v>3600</v>
      </c>
      <c r="M111" s="104">
        <v>208.77</v>
      </c>
      <c r="N111" s="104">
        <v>3600</v>
      </c>
      <c r="O111" s="104">
        <v>3600</v>
      </c>
      <c r="P111" s="107"/>
      <c r="Q111" s="107">
        <v>1800</v>
      </c>
      <c r="R111" s="178">
        <f>IF(T111=0,0,(L111-T111)/T111)</f>
        <v>0.8181818181818182</v>
      </c>
      <c r="S111" s="100">
        <v>3600</v>
      </c>
      <c r="T111" s="109">
        <v>1980</v>
      </c>
      <c r="U111" s="13"/>
      <c r="V111" s="13"/>
      <c r="W111" s="13"/>
      <c r="X111" s="13"/>
      <c r="Y111" s="104">
        <v>3600</v>
      </c>
      <c r="Z111" s="104">
        <v>575</v>
      </c>
      <c r="AA111" s="104">
        <f>Y111</f>
        <v>3600</v>
      </c>
      <c r="AB111" s="144">
        <f>(AA111-Y111)/Y111</f>
        <v>0</v>
      </c>
      <c r="AC111" t="s" s="214">
        <v>208</v>
      </c>
      <c r="AD111" s="13"/>
    </row>
    <row r="112" ht="15.75" customHeight="1">
      <c r="A112" t="s" s="102">
        <v>209</v>
      </c>
      <c r="B112" t="s" s="103">
        <v>210</v>
      </c>
      <c r="C112" s="104">
        <v>248</v>
      </c>
      <c r="D112" s="104">
        <v>335</v>
      </c>
      <c r="E112" s="105">
        <v>495</v>
      </c>
      <c r="F112" s="105">
        <v>693</v>
      </c>
      <c r="G112" s="104">
        <v>1019.38</v>
      </c>
      <c r="H112" s="104">
        <v>430</v>
      </c>
      <c r="I112" s="104">
        <v>560</v>
      </c>
      <c r="J112" s="106">
        <v>645.97</v>
      </c>
      <c r="K112" s="97"/>
      <c r="L112" s="104">
        <v>483</v>
      </c>
      <c r="M112" s="104">
        <v>929.89</v>
      </c>
      <c r="N112" s="104">
        <v>686.12</v>
      </c>
      <c r="O112" s="104">
        <v>1153</v>
      </c>
      <c r="P112" t="s" s="143">
        <v>211</v>
      </c>
      <c r="Q112" s="107">
        <v>1019.38</v>
      </c>
      <c r="R112" s="178">
        <f>IF(T112=0,0,(L112-T112)/T112)</f>
        <v>-0.356</v>
      </c>
      <c r="S112" s="100">
        <v>400</v>
      </c>
      <c r="T112" s="109">
        <v>750</v>
      </c>
      <c r="U112" s="13"/>
      <c r="V112" s="13"/>
      <c r="W112" s="13"/>
      <c r="X112" s="13"/>
      <c r="Y112" s="104">
        <v>1100</v>
      </c>
      <c r="Z112" s="104">
        <v>672.46</v>
      </c>
      <c r="AA112" s="104">
        <v>1100</v>
      </c>
      <c r="AB112" s="144">
        <f>(AA112-Y112)/Y112</f>
        <v>0</v>
      </c>
      <c r="AC112" s="13"/>
      <c r="AD112" s="13"/>
    </row>
    <row r="113" ht="15.75" customHeight="1">
      <c r="A113" t="s" s="102">
        <v>212</v>
      </c>
      <c r="B113" t="s" s="103">
        <v>213</v>
      </c>
      <c r="C113" s="104"/>
      <c r="D113" s="104">
        <v>0</v>
      </c>
      <c r="E113" s="105">
        <v>0</v>
      </c>
      <c r="F113" s="105"/>
      <c r="G113" s="104"/>
      <c r="H113" s="104"/>
      <c r="I113" s="104"/>
      <c r="J113" s="106"/>
      <c r="K113" s="97"/>
      <c r="L113" s="104">
        <v>0</v>
      </c>
      <c r="M113" s="104">
        <v>811.55</v>
      </c>
      <c r="N113" s="104">
        <v>0</v>
      </c>
      <c r="O113" s="104">
        <v>105.84</v>
      </c>
      <c r="P113" s="107"/>
      <c r="Q113" s="107"/>
      <c r="R113" s="178"/>
      <c r="S113" s="100"/>
      <c r="T113" s="109"/>
      <c r="U113" s="13"/>
      <c r="V113" s="13"/>
      <c r="W113" s="13"/>
      <c r="X113" s="13"/>
      <c r="Y113" s="104">
        <v>500</v>
      </c>
      <c r="Z113" s="104">
        <v>0</v>
      </c>
      <c r="AA113" s="104">
        <v>0</v>
      </c>
      <c r="AB113" s="144">
        <f>(AA113-Y113)/Y113</f>
        <v>-1</v>
      </c>
      <c r="AC113" s="13"/>
      <c r="AD113" s="13"/>
    </row>
    <row r="114" ht="15.75" customHeight="1">
      <c r="A114" t="s" s="102">
        <v>214</v>
      </c>
      <c r="B114" t="s" s="103">
        <v>215</v>
      </c>
      <c r="C114" s="104">
        <v>0</v>
      </c>
      <c r="D114" s="104">
        <v>0</v>
      </c>
      <c r="E114" s="105">
        <v>593.8</v>
      </c>
      <c r="F114" s="105">
        <v>262.63</v>
      </c>
      <c r="G114" s="104">
        <v>0</v>
      </c>
      <c r="H114" s="104"/>
      <c r="I114" s="104"/>
      <c r="J114" s="106"/>
      <c r="K114" s="97"/>
      <c r="L114" s="104">
        <v>308.03</v>
      </c>
      <c r="M114" s="104">
        <v>1953.41</v>
      </c>
      <c r="N114" s="104">
        <v>2953.4</v>
      </c>
      <c r="O114" s="104">
        <v>5198.62</v>
      </c>
      <c r="P114" t="s" s="143">
        <v>216</v>
      </c>
      <c r="Q114" s="107"/>
      <c r="R114" s="178">
        <f>IF(T114=0,0,(L114-T114)/T114)</f>
        <v>0</v>
      </c>
      <c r="S114" s="100">
        <v>0</v>
      </c>
      <c r="T114" s="109">
        <v>0</v>
      </c>
      <c r="U114" s="13"/>
      <c r="V114" s="13"/>
      <c r="W114" s="13"/>
      <c r="X114" s="13"/>
      <c r="Y114" s="104">
        <v>2800</v>
      </c>
      <c r="Z114" s="104">
        <v>975.05</v>
      </c>
      <c r="AA114" s="104">
        <v>975</v>
      </c>
      <c r="AB114" s="144">
        <f>(AA114-Y114)/Y114</f>
        <v>-0.6517857142857143</v>
      </c>
      <c r="AC114" s="61">
        <v>9</v>
      </c>
      <c r="AD114" s="13"/>
    </row>
    <row r="115" ht="15.75" customHeight="1">
      <c r="A115" t="s" s="102">
        <v>217</v>
      </c>
      <c r="B115" t="s" s="103">
        <v>218</v>
      </c>
      <c r="C115" s="104">
        <v>264.16</v>
      </c>
      <c r="D115" s="104">
        <v>610.72</v>
      </c>
      <c r="E115" s="105">
        <v>394.2</v>
      </c>
      <c r="F115" s="105">
        <v>614.45</v>
      </c>
      <c r="G115" s="104">
        <v>439.77</v>
      </c>
      <c r="H115" s="104">
        <v>356.4</v>
      </c>
      <c r="I115" s="104">
        <v>165.31</v>
      </c>
      <c r="J115" s="106">
        <v>-231.36</v>
      </c>
      <c r="K115" s="97"/>
      <c r="L115" s="104">
        <v>614.45</v>
      </c>
      <c r="M115" s="104"/>
      <c r="N115" s="104">
        <v>322.3</v>
      </c>
      <c r="O115" s="104">
        <v>0</v>
      </c>
      <c r="P115" s="107"/>
      <c r="Q115" s="107">
        <v>439.77</v>
      </c>
      <c r="R115" s="178">
        <f>IF(T115=0,0,(L115-T115)/T115)</f>
        <v>0.2289000000000001</v>
      </c>
      <c r="S115" s="100">
        <v>500</v>
      </c>
      <c r="T115" s="109">
        <v>500</v>
      </c>
      <c r="U115" s="13"/>
      <c r="V115" s="13"/>
      <c r="W115" s="13"/>
      <c r="X115" s="13"/>
      <c r="Y115" s="104">
        <v>500</v>
      </c>
      <c r="Z115" s="104">
        <v>0</v>
      </c>
      <c r="AA115" s="104">
        <v>0</v>
      </c>
      <c r="AB115" s="144">
        <f>(AA115-Y115)/Y115</f>
        <v>-1</v>
      </c>
      <c r="AC115" s="13"/>
      <c r="AD115" s="13"/>
    </row>
    <row r="116" ht="15.75" customHeight="1">
      <c r="A116" t="s" s="102">
        <v>219</v>
      </c>
      <c r="B116" t="s" s="103">
        <v>220</v>
      </c>
      <c r="C116" s="104">
        <v>-31.43</v>
      </c>
      <c r="D116" s="104">
        <v>0</v>
      </c>
      <c r="E116" s="105">
        <v>0</v>
      </c>
      <c r="F116" s="105">
        <v>0</v>
      </c>
      <c r="G116" s="104">
        <v>1056.82</v>
      </c>
      <c r="H116" s="104">
        <v>106.95</v>
      </c>
      <c r="I116" s="104">
        <v>104.25</v>
      </c>
      <c r="J116" s="106">
        <v>236.32</v>
      </c>
      <c r="K116" s="97"/>
      <c r="L116" s="104">
        <v>0</v>
      </c>
      <c r="M116" s="104">
        <v>59.33</v>
      </c>
      <c r="N116" s="104">
        <v>155.8</v>
      </c>
      <c r="O116" s="104">
        <f>75.2+25</f>
        <v>100.2</v>
      </c>
      <c r="P116" s="107"/>
      <c r="Q116" s="107">
        <v>1056.82</v>
      </c>
      <c r="R116" s="178">
        <f>IF(T116=0,0,(L116-T116)/T116)</f>
        <v>-1</v>
      </c>
      <c r="S116" s="100">
        <v>250</v>
      </c>
      <c r="T116" s="109">
        <v>250</v>
      </c>
      <c r="U116" s="13"/>
      <c r="V116" s="13"/>
      <c r="W116" s="13"/>
      <c r="X116" s="13"/>
      <c r="Y116" s="104">
        <v>0</v>
      </c>
      <c r="Z116" s="104">
        <v>0</v>
      </c>
      <c r="AA116" s="104">
        <v>0</v>
      </c>
      <c r="AB116" t="s" s="143">
        <v>90</v>
      </c>
      <c r="AC116" s="13"/>
      <c r="AD116" s="13"/>
    </row>
    <row r="117" ht="15.75" customHeight="1">
      <c r="A117" t="s" s="102">
        <v>221</v>
      </c>
      <c r="B117" t="s" s="103">
        <v>222</v>
      </c>
      <c r="C117" s="104">
        <v>117.6</v>
      </c>
      <c r="D117" s="104">
        <v>338.1</v>
      </c>
      <c r="E117" s="105">
        <v>143.96</v>
      </c>
      <c r="F117" s="105">
        <v>178.5</v>
      </c>
      <c r="G117" s="104">
        <v>0</v>
      </c>
      <c r="H117" s="104"/>
      <c r="I117" s="104"/>
      <c r="J117" s="106"/>
      <c r="K117" s="97"/>
      <c r="L117" s="104">
        <v>178.5</v>
      </c>
      <c r="M117" s="104">
        <v>200.7</v>
      </c>
      <c r="N117" s="104">
        <v>0</v>
      </c>
      <c r="O117" s="104">
        <v>79.14</v>
      </c>
      <c r="P117" s="107"/>
      <c r="Q117" s="13"/>
      <c r="R117" s="178">
        <f>IF(T117=0,0,(L117-T117)/T117)</f>
        <v>0</v>
      </c>
      <c r="S117" s="100">
        <v>400</v>
      </c>
      <c r="T117" s="109">
        <v>0</v>
      </c>
      <c r="U117" s="13"/>
      <c r="V117" s="13"/>
      <c r="W117" s="13"/>
      <c r="X117" s="13"/>
      <c r="Y117" s="104">
        <v>201</v>
      </c>
      <c r="Z117" s="104">
        <v>175.3</v>
      </c>
      <c r="AA117" s="104">
        <v>175</v>
      </c>
      <c r="AB117" s="144">
        <f>(AA117-Y117)/Y117</f>
        <v>-0.1293532338308458</v>
      </c>
      <c r="AC117" s="61">
        <v>10</v>
      </c>
      <c r="AD117" s="13"/>
    </row>
    <row r="118" ht="15.75" customHeight="1">
      <c r="A118" t="s" s="102">
        <v>223</v>
      </c>
      <c r="B118" t="s" s="103">
        <v>224</v>
      </c>
      <c r="C118" s="104">
        <v>2561.67</v>
      </c>
      <c r="D118" s="104">
        <v>2838.65</v>
      </c>
      <c r="E118" s="105">
        <v>2790.9</v>
      </c>
      <c r="F118" s="105">
        <v>2975.1</v>
      </c>
      <c r="G118" s="104">
        <v>3088.04</v>
      </c>
      <c r="H118" s="104">
        <v>2610.61</v>
      </c>
      <c r="I118" s="104">
        <v>2651.65</v>
      </c>
      <c r="J118" s="106">
        <v>2894.37</v>
      </c>
      <c r="K118" s="97"/>
      <c r="L118" s="104">
        <v>3136.7</v>
      </c>
      <c r="M118" s="104">
        <v>3411.99</v>
      </c>
      <c r="N118" s="104">
        <v>3969.335</v>
      </c>
      <c r="O118" s="104">
        <v>2414.2</v>
      </c>
      <c r="P118" s="107"/>
      <c r="Q118" s="107">
        <v>3088.04</v>
      </c>
      <c r="R118" s="178">
        <f>IF(T118=0,0,(L118-T118)/T118)</f>
        <v>-0.1038000000000001</v>
      </c>
      <c r="S118" s="100">
        <v>2600</v>
      </c>
      <c r="T118" s="109">
        <v>3500</v>
      </c>
      <c r="U118" s="13"/>
      <c r="V118" s="13"/>
      <c r="W118" s="13"/>
      <c r="X118" s="13"/>
      <c r="Y118" s="104">
        <v>2600</v>
      </c>
      <c r="Z118" s="104">
        <v>2662.83</v>
      </c>
      <c r="AA118" s="104">
        <v>2660</v>
      </c>
      <c r="AB118" s="144">
        <f>(AA118-Y118)/Y118</f>
        <v>0.02307692307692308</v>
      </c>
      <c r="AC118" s="219"/>
      <c r="AD118" s="13"/>
    </row>
    <row r="119" ht="15.75" customHeight="1">
      <c r="A119" t="s" s="102">
        <v>225</v>
      </c>
      <c r="B119" t="s" s="103">
        <v>226</v>
      </c>
      <c r="C119" s="104">
        <f>1890.59-117.6</f>
        <v>1772.99</v>
      </c>
      <c r="D119" s="104">
        <v>2066.08</v>
      </c>
      <c r="E119" s="105">
        <v>2005.81</v>
      </c>
      <c r="F119" s="105">
        <v>1833.72</v>
      </c>
      <c r="G119" s="104">
        <v>3829.95</v>
      </c>
      <c r="H119" s="104">
        <v>1467.56</v>
      </c>
      <c r="I119" s="104">
        <v>1404.32</v>
      </c>
      <c r="J119" s="106">
        <v>827.71</v>
      </c>
      <c r="K119" s="97"/>
      <c r="L119" s="104">
        <v>1833.72</v>
      </c>
      <c r="M119" s="104">
        <v>1674.35</v>
      </c>
      <c r="N119" s="104">
        <v>1843.82</v>
      </c>
      <c r="O119" s="104">
        <v>2409.83</v>
      </c>
      <c r="P119" s="107"/>
      <c r="Q119" s="107">
        <v>3829.95</v>
      </c>
      <c r="R119" s="178">
        <f>IF(T119=0,0,(L119-T119)/T119)</f>
        <v>0.22248</v>
      </c>
      <c r="S119" s="100">
        <v>2000</v>
      </c>
      <c r="T119" s="109">
        <v>1500</v>
      </c>
      <c r="U119" s="13"/>
      <c r="V119" s="13"/>
      <c r="W119" s="13"/>
      <c r="X119" s="13"/>
      <c r="Y119" s="104">
        <v>2000</v>
      </c>
      <c r="Z119" s="104">
        <v>1398.1</v>
      </c>
      <c r="AA119" s="104">
        <v>1440</v>
      </c>
      <c r="AB119" s="144">
        <f>(AA119-Y119)/Y119</f>
        <v>-0.28</v>
      </c>
      <c r="AC119" s="13"/>
      <c r="AD119" s="13"/>
    </row>
    <row r="120" ht="15.75" customHeight="1">
      <c r="A120" t="s" s="102">
        <v>227</v>
      </c>
      <c r="B120" t="s" s="103">
        <v>228</v>
      </c>
      <c r="C120" s="104">
        <v>1276.4</v>
      </c>
      <c r="D120" s="104">
        <v>756.9</v>
      </c>
      <c r="E120" s="105">
        <v>1333.98</v>
      </c>
      <c r="F120" s="105">
        <v>564.9299999999999</v>
      </c>
      <c r="G120" s="104">
        <v>2123.99</v>
      </c>
      <c r="H120" s="104">
        <v>1341.48</v>
      </c>
      <c r="I120" s="104">
        <v>1841.93</v>
      </c>
      <c r="J120" s="106">
        <v>637.36</v>
      </c>
      <c r="K120" s="97"/>
      <c r="L120" s="104">
        <v>1104.93</v>
      </c>
      <c r="M120" s="104">
        <v>1070.363</v>
      </c>
      <c r="N120" s="104">
        <v>460.39</v>
      </c>
      <c r="O120" s="104">
        <v>291.74</v>
      </c>
      <c r="P120" t="s" s="143">
        <v>229</v>
      </c>
      <c r="Q120" s="107">
        <v>2123.99</v>
      </c>
      <c r="R120" s="178">
        <f>IF(T120=0,0,(L120-T120)/T120)</f>
        <v>-0.2633799999999999</v>
      </c>
      <c r="S120" s="100">
        <v>850</v>
      </c>
      <c r="T120" s="109">
        <v>1500</v>
      </c>
      <c r="U120" s="13"/>
      <c r="V120" s="13"/>
      <c r="W120" s="13"/>
      <c r="X120" s="13"/>
      <c r="Y120" s="104">
        <v>400</v>
      </c>
      <c r="Z120" s="104">
        <v>350.66</v>
      </c>
      <c r="AA120" s="104">
        <v>400</v>
      </c>
      <c r="AB120" s="144">
        <f>(AA120-Y120)/Y120</f>
        <v>0</v>
      </c>
      <c r="AC120" s="13"/>
      <c r="AD120" s="13"/>
    </row>
    <row r="121" ht="12" customHeight="1">
      <c r="A121" s="102"/>
      <c r="B121" s="203"/>
      <c r="C121" s="119"/>
      <c r="D121" s="119"/>
      <c r="E121" s="120"/>
      <c r="F121" s="120"/>
      <c r="G121" s="119"/>
      <c r="H121" s="119"/>
      <c r="I121" s="119"/>
      <c r="J121" s="121"/>
      <c r="K121" s="97"/>
      <c r="L121" s="119"/>
      <c r="M121" s="119"/>
      <c r="N121" s="119"/>
      <c r="O121" s="119"/>
      <c r="P121" s="107"/>
      <c r="Q121" s="266"/>
      <c r="R121" s="178"/>
      <c r="S121" s="123"/>
      <c r="T121" s="124"/>
      <c r="U121" s="13"/>
      <c r="V121" s="13"/>
      <c r="W121" s="13"/>
      <c r="X121" s="13"/>
      <c r="Y121" s="119"/>
      <c r="Z121" s="119"/>
      <c r="AA121" s="119"/>
      <c r="AB121" s="144"/>
      <c r="AC121" s="13"/>
      <c r="AD121" s="13"/>
    </row>
    <row r="122" ht="15.75" customHeight="1">
      <c r="A122" s="258"/>
      <c r="B122" t="s" s="125">
        <v>230</v>
      </c>
      <c r="C122" s="259">
        <f>SUM(C102:C116)</f>
        <v>6103.75</v>
      </c>
      <c r="D122" s="259">
        <f>SUM(D102:D116)</f>
        <v>7466.39</v>
      </c>
      <c r="E122" s="260">
        <f>SUM(E102:E120)</f>
        <v>14333.94</v>
      </c>
      <c r="F122" s="260">
        <f>SUM(F102:F116)</f>
        <v>7193.389999999999</v>
      </c>
      <c r="G122" s="126">
        <f>SUM(G102:G116)</f>
        <v>9316.08</v>
      </c>
      <c r="H122" s="259">
        <f>SUM(H102:H116)</f>
        <v>6081.429999999999</v>
      </c>
      <c r="I122" s="259">
        <f>SUM(I102:I116)</f>
        <v>6911.990000000001</v>
      </c>
      <c r="J122" s="261">
        <f>SUM(J102:J116)</f>
        <v>5470.41</v>
      </c>
      <c r="K122" s="129"/>
      <c r="L122" s="259">
        <v>13873</v>
      </c>
      <c r="M122" s="259">
        <f>SUM(M102:M121)</f>
        <v>18306.023</v>
      </c>
      <c r="N122" s="259">
        <f>SUM(N102:N121)</f>
        <v>18371.013</v>
      </c>
      <c r="O122" s="259">
        <f>SUM(O102:O121)</f>
        <v>16758.080000000005</v>
      </c>
      <c r="P122" s="12"/>
      <c r="Q122" s="131">
        <f>SUM(Q102:Q116)</f>
        <v>8520.129999999999</v>
      </c>
      <c r="R122" s="263">
        <f>IF(T122=0,0,(L122-T122)/T122)</f>
        <v>0.478997867803838</v>
      </c>
      <c r="S122" s="132">
        <f>SUM(S102:S116)</f>
        <v>9900</v>
      </c>
      <c r="T122" s="265">
        <f>SUM(T102:T116)</f>
        <v>9380</v>
      </c>
      <c r="U122" s="13"/>
      <c r="V122" s="13"/>
      <c r="W122" s="13"/>
      <c r="X122" s="13"/>
      <c r="Y122" s="259">
        <f>SUM(Y102:Y121)</f>
        <v>16601</v>
      </c>
      <c r="Z122" s="259">
        <f>SUM(Z102:Z121)</f>
        <v>8260.49</v>
      </c>
      <c r="AA122" s="259">
        <f>SUM(AA102:AA121)</f>
        <v>11544</v>
      </c>
      <c r="AB122" s="198">
        <f>(AA122-Y122)/Y122</f>
        <v>-0.3046202036021927</v>
      </c>
      <c r="AC122" s="13"/>
      <c r="AD122" s="13"/>
    </row>
    <row r="123" ht="9.75" customHeight="1">
      <c r="A123" s="102"/>
      <c r="B123" s="62"/>
      <c r="C123" s="126"/>
      <c r="D123" s="126"/>
      <c r="E123" s="127"/>
      <c r="F123" s="127"/>
      <c r="G123" s="126"/>
      <c r="H123" s="126"/>
      <c r="I123" s="126"/>
      <c r="J123" s="128"/>
      <c r="K123" s="129"/>
      <c r="L123" s="126"/>
      <c r="M123" s="126"/>
      <c r="N123" s="126"/>
      <c r="O123" s="126"/>
      <c r="P123" s="107"/>
      <c r="Q123" s="131"/>
      <c r="R123" s="91"/>
      <c r="S123" s="132"/>
      <c r="T123" s="133"/>
      <c r="U123" s="13"/>
      <c r="V123" s="13"/>
      <c r="W123" s="13"/>
      <c r="X123" s="13"/>
      <c r="Y123" s="126"/>
      <c r="Z123" s="126"/>
      <c r="AA123" s="126"/>
      <c r="AB123" s="144"/>
      <c r="AC123" s="13"/>
      <c r="AD123" s="13"/>
    </row>
    <row r="124" ht="21.75" customHeight="1">
      <c r="A124" s="102"/>
      <c r="B124" t="s" s="125">
        <v>231</v>
      </c>
      <c r="C124" s="152">
        <f>C36+C69+C99+C122</f>
        <v>325797.64</v>
      </c>
      <c r="D124" s="152">
        <f>D36+D69+D99+D122</f>
        <v>321780.09</v>
      </c>
      <c r="E124" s="126">
        <f>E36+E51+E67+E82+E96+E122</f>
        <v>340667.58</v>
      </c>
      <c r="F124" s="153">
        <f>F36+F69+F99+F122</f>
        <v>264256.56</v>
      </c>
      <c r="G124" s="152">
        <f>G36+G69+G99+G122</f>
        <v>336617.5981999999</v>
      </c>
      <c r="H124" s="152">
        <f>H36+H69+H99+H122</f>
        <v>315764.83</v>
      </c>
      <c r="I124" s="152">
        <f>I36+I69+I99+I122</f>
        <v>301036.35</v>
      </c>
      <c r="J124" s="154">
        <f>J36+J69+J99+J122</f>
        <v>295325.9</v>
      </c>
      <c r="K124" s="155"/>
      <c r="L124" s="126">
        <f>L36+L51+L67+L82+L96+L122</f>
        <v>316304.05</v>
      </c>
      <c r="M124" s="126">
        <f>M36+M51+M67+M82+M96+M122</f>
        <v>336154.293</v>
      </c>
      <c r="N124" s="126">
        <f>N36+N51+N67+N82+N96+N122</f>
        <v>323334.003</v>
      </c>
      <c r="O124" s="126">
        <f>O36+O51+O67+O82+O96+O122</f>
        <v>310406.817</v>
      </c>
      <c r="P124" s="130"/>
      <c r="Q124" s="131">
        <f>Q36+Q69+Q99+Q122</f>
        <v>250288.9082</v>
      </c>
      <c r="R124" s="178">
        <f>IF(T124=0,0,(L124-T124)/T124)</f>
        <v>-0.03158025641111847</v>
      </c>
      <c r="S124" s="157">
        <f>S36+S69+S99+S122</f>
        <v>335970.17425</v>
      </c>
      <c r="T124" s="158">
        <f>T36+T69+T99+T122</f>
        <v>326618.754</v>
      </c>
      <c r="U124" s="13"/>
      <c r="V124" s="13"/>
      <c r="W124" s="13"/>
      <c r="X124" s="13"/>
      <c r="Y124" s="126">
        <f>Y36+Y51+Y67+Y82+Y96+Y122</f>
        <v>321282.7745</v>
      </c>
      <c r="Z124" s="126">
        <f>Z36+Z51+Z67+Z82+Z96+Z122</f>
        <v>274335.25</v>
      </c>
      <c r="AA124" s="126">
        <f>AA36+AA51+AA67+AA82+AA96+AA122</f>
        <v>244281.0265</v>
      </c>
      <c r="AB124" s="144">
        <f>(AA124-Y124)/Y124</f>
        <v>-0.2396697056660907</v>
      </c>
      <c r="AC124" s="104">
        <f>AA124-Y124</f>
        <v>-77001.747999999992</v>
      </c>
      <c r="AD124" s="13"/>
    </row>
    <row r="125" ht="9.75" customHeight="1">
      <c r="A125" s="102"/>
      <c r="B125" s="135"/>
      <c r="C125" s="126"/>
      <c r="D125" s="126"/>
      <c r="E125" s="127"/>
      <c r="F125" s="127"/>
      <c r="G125" s="126"/>
      <c r="H125" s="126"/>
      <c r="I125" s="126"/>
      <c r="J125" s="128"/>
      <c r="K125" s="129"/>
      <c r="L125" s="126"/>
      <c r="M125" s="126"/>
      <c r="N125" s="126"/>
      <c r="O125" s="126"/>
      <c r="P125" s="12"/>
      <c r="Q125" s="131"/>
      <c r="R125" s="91"/>
      <c r="S125" s="132"/>
      <c r="T125" s="133"/>
      <c r="U125" s="13"/>
      <c r="V125" s="13"/>
      <c r="W125" s="13"/>
      <c r="X125" s="13"/>
      <c r="Y125" s="126"/>
      <c r="Z125" s="126"/>
      <c r="AA125" s="126"/>
      <c r="AB125" s="144"/>
      <c r="AC125" s="13"/>
      <c r="AD125" s="13"/>
    </row>
    <row r="126" ht="21" customHeight="1">
      <c r="A126" s="102"/>
      <c r="B126" t="s" s="125">
        <v>232</v>
      </c>
      <c r="C126" s="126">
        <f>C28-C124</f>
        <v>46508.270000000019</v>
      </c>
      <c r="D126" s="126">
        <f>D28-D124</f>
        <v>-1586.880000000005</v>
      </c>
      <c r="E126" s="267">
        <f>E28-E124</f>
        <v>0</v>
      </c>
      <c r="F126" s="127">
        <f>F28-F124</f>
        <v>14286.610000000044</v>
      </c>
      <c r="G126" s="126">
        <f>G28-G124</f>
        <v>55776.171800000069</v>
      </c>
      <c r="H126" s="126">
        <f>H28-H124</f>
        <v>-98133.369999999937</v>
      </c>
      <c r="I126" s="126">
        <f>I28-I124</f>
        <v>-85130.739999999991</v>
      </c>
      <c r="J126" s="128">
        <f>J28-J124</f>
        <v>-110501.4999999999</v>
      </c>
      <c r="K126" s="129"/>
      <c r="L126" s="126">
        <f>L28-L124</f>
        <v>0.05999999999767169</v>
      </c>
      <c r="M126" s="126">
        <f>M28-M124</f>
        <v>0.2370000000228174</v>
      </c>
      <c r="N126" s="126">
        <f>N28-N124</f>
        <v>-0.3030000000144355</v>
      </c>
      <c r="O126" s="126">
        <f>O28-O124</f>
        <v>0.2429999999585561</v>
      </c>
      <c r="P126" s="12"/>
      <c r="Q126" s="131">
        <f>Q28-Q124</f>
        <v>-51195.138199999987</v>
      </c>
      <c r="R126" s="178"/>
      <c r="S126" s="132">
        <f>S28-S124</f>
        <v>47120.99575</v>
      </c>
      <c r="T126" s="133">
        <f>T28-T124</f>
        <v>57259.495999999985</v>
      </c>
      <c r="U126" s="13"/>
      <c r="V126" s="13"/>
      <c r="W126" s="13"/>
      <c r="X126" s="13"/>
      <c r="Y126" s="126">
        <f>Y28-Y124</f>
        <v>0.2255000000004657</v>
      </c>
      <c r="Z126" s="126">
        <f>Z28-Z124</f>
        <v>-0.1300000000046566</v>
      </c>
      <c r="AA126" s="126">
        <f>AA28-AA124</f>
        <v>-0.02650000000721775</v>
      </c>
      <c r="AB126" s="144"/>
      <c r="AC126" s="13"/>
      <c r="AD126" s="13"/>
    </row>
    <row r="127" ht="21" customHeight="1">
      <c r="A127" s="102"/>
      <c r="B127" s="135"/>
      <c r="C127" s="179"/>
      <c r="D127" s="179"/>
      <c r="E127" s="268"/>
      <c r="F127" s="269"/>
      <c r="G127" s="179"/>
      <c r="H127" s="179"/>
      <c r="I127" s="179"/>
      <c r="J127" s="270"/>
      <c r="K127" s="129"/>
      <c r="L127" s="179"/>
      <c r="M127" s="179"/>
      <c r="N127" s="179"/>
      <c r="O127" s="179"/>
      <c r="P127" s="12"/>
      <c r="Q127" s="180"/>
      <c r="R127" s="178"/>
      <c r="S127" s="211"/>
      <c r="T127" s="212"/>
      <c r="U127" s="13"/>
      <c r="V127" s="13"/>
      <c r="W127" s="13"/>
      <c r="X127" s="13"/>
      <c r="Y127" s="179"/>
      <c r="Z127" s="179"/>
      <c r="AA127" s="179"/>
      <c r="AB127" s="134"/>
      <c r="AC127" s="13"/>
      <c r="AD127" s="13"/>
    </row>
    <row r="128" ht="12" customHeight="1">
      <c r="A128" t="s" s="271">
        <v>233</v>
      </c>
      <c r="B128" t="s" s="272">
        <v>234</v>
      </c>
      <c r="C128" s="273"/>
      <c r="D128" s="273"/>
      <c r="E128" s="274"/>
      <c r="F128" s="274"/>
      <c r="G128" s="275"/>
      <c r="H128" s="273"/>
      <c r="I128" s="273"/>
      <c r="J128" s="276"/>
      <c r="K128" s="277"/>
      <c r="L128" s="273"/>
      <c r="M128" s="273"/>
      <c r="N128" s="220"/>
      <c r="O128" s="220"/>
      <c r="P128" s="104"/>
      <c r="Q128" s="104"/>
      <c r="R128" s="104"/>
      <c r="S128" s="278"/>
      <c r="T128" s="220"/>
      <c r="U128" s="104"/>
      <c r="V128" s="104"/>
      <c r="W128" s="104"/>
      <c r="X128" s="104"/>
      <c r="Y128" s="220"/>
      <c r="Z128" s="220"/>
      <c r="AA128" s="220"/>
      <c r="AB128" s="220"/>
      <c r="AC128" s="13"/>
      <c r="AD128" s="13"/>
    </row>
    <row r="129" ht="18" customHeight="1" hidden="1">
      <c r="A129" s="279"/>
      <c r="B129" s="280"/>
      <c r="C129" s="281"/>
      <c r="D129" s="281"/>
      <c r="E129" s="282"/>
      <c r="F129" s="282"/>
      <c r="G129" s="283"/>
      <c r="H129" s="281"/>
      <c r="I129" s="281"/>
      <c r="J129" s="284"/>
      <c r="K129" s="285"/>
      <c r="L129" s="286"/>
      <c r="M129" s="281"/>
      <c r="N129" s="287"/>
      <c r="O129" s="287"/>
      <c r="P129" s="165"/>
      <c r="Q129" s="169"/>
      <c r="R129" s="167"/>
      <c r="S129" s="288"/>
      <c r="T129" s="289"/>
      <c r="U129" s="169"/>
      <c r="V129" s="169"/>
      <c r="W129" s="169"/>
      <c r="X129" s="169"/>
      <c r="Y129" s="287"/>
      <c r="Z129" s="287"/>
      <c r="AA129" s="287"/>
      <c r="AB129" s="287"/>
      <c r="AC129" s="13"/>
      <c r="AD129" s="13"/>
    </row>
    <row r="130" ht="18.75" customHeight="1" hidden="1">
      <c r="A130" t="s" s="290">
        <v>235</v>
      </c>
      <c r="B130" s="291"/>
      <c r="C130" s="172"/>
      <c r="D130" s="172"/>
      <c r="E130" s="292"/>
      <c r="F130" s="292"/>
      <c r="G130" s="172"/>
      <c r="H130" s="172"/>
      <c r="I130" s="172"/>
      <c r="J130" s="172"/>
      <c r="K130" s="97"/>
      <c r="L130" s="292"/>
      <c r="M130" s="292"/>
      <c r="N130" s="292"/>
      <c r="O130" s="292"/>
      <c r="P130" s="293"/>
      <c r="Q130" s="292"/>
      <c r="R130" s="293"/>
      <c r="S130" s="293"/>
      <c r="T130" s="292"/>
      <c r="U130" s="293"/>
      <c r="V130" s="293"/>
      <c r="W130" s="293"/>
      <c r="X130" s="293"/>
      <c r="Y130" s="292"/>
      <c r="Z130" s="292"/>
      <c r="AA130" s="292"/>
      <c r="AB130" s="292"/>
      <c r="AC130" s="90"/>
      <c r="AD130" s="13"/>
    </row>
    <row r="131" ht="8" customHeight="1" hidden="1">
      <c r="A131" s="294"/>
      <c r="B131" s="98"/>
      <c r="C131" s="94"/>
      <c r="D131" s="94"/>
      <c r="E131" s="95"/>
      <c r="F131" s="95"/>
      <c r="G131" s="295"/>
      <c r="H131" s="94"/>
      <c r="I131" s="94"/>
      <c r="J131" s="96"/>
      <c r="K131" s="97"/>
      <c r="L131" s="101"/>
      <c r="M131" s="94"/>
      <c r="N131" s="94"/>
      <c r="O131" s="94"/>
      <c r="P131" s="296"/>
      <c r="Q131" s="297"/>
      <c r="R131" s="99"/>
      <c r="S131" s="100"/>
      <c r="T131" s="101"/>
      <c r="U131" s="98"/>
      <c r="V131" s="98"/>
      <c r="W131" s="98"/>
      <c r="X131" s="98"/>
      <c r="Y131" s="94"/>
      <c r="Z131" s="94"/>
      <c r="AA131" s="94"/>
      <c r="AB131" s="94"/>
      <c r="AC131" s="13"/>
      <c r="AD131" s="13"/>
    </row>
    <row r="132" ht="15.75" customHeight="1" hidden="1">
      <c r="A132" s="102"/>
      <c r="B132" t="s" s="142">
        <v>236</v>
      </c>
      <c r="C132" s="134"/>
      <c r="D132" s="298"/>
      <c r="E132" s="104"/>
      <c r="F132" s="299"/>
      <c r="G132" s="134"/>
      <c r="H132" s="134"/>
      <c r="I132" s="134"/>
      <c r="J132" s="300"/>
      <c r="K132" s="129"/>
      <c r="L132" s="301"/>
      <c r="M132" s="134"/>
      <c r="N132" s="134"/>
      <c r="O132" s="134"/>
      <c r="P132" s="13"/>
      <c r="Q132" s="302"/>
      <c r="R132" s="91"/>
      <c r="S132" s="303"/>
      <c r="T132" s="301"/>
      <c r="U132" s="13"/>
      <c r="V132" s="13"/>
      <c r="W132" s="13"/>
      <c r="X132" s="13"/>
      <c r="Y132" s="134"/>
      <c r="Z132" s="134"/>
      <c r="AA132" s="134"/>
      <c r="AB132" s="134"/>
      <c r="AC132" s="13"/>
      <c r="AD132" s="13"/>
    </row>
    <row r="133" ht="15.75" customHeight="1" hidden="1">
      <c r="A133" s="62"/>
      <c r="B133" s="304"/>
      <c r="C133" s="106"/>
      <c r="D133" s="305"/>
      <c r="E133" s="109"/>
      <c r="F133" s="104"/>
      <c r="G133" s="104"/>
      <c r="H133" s="104"/>
      <c r="I133" s="104"/>
      <c r="J133" s="106"/>
      <c r="K133" s="97"/>
      <c r="L133" s="109"/>
      <c r="M133" s="104"/>
      <c r="N133" s="104"/>
      <c r="O133" s="104"/>
      <c r="P133" s="13"/>
      <c r="Q133" s="107"/>
      <c r="R133" s="91"/>
      <c r="S133" s="100"/>
      <c r="T133" s="109"/>
      <c r="U133" s="13"/>
      <c r="V133" s="13"/>
      <c r="W133" s="13"/>
      <c r="X133" s="13"/>
      <c r="Y133" s="104"/>
      <c r="Z133" s="104"/>
      <c r="AA133" s="104"/>
      <c r="AB133" s="104"/>
      <c r="AC133" s="13"/>
      <c r="AD133" s="13"/>
    </row>
    <row r="134" ht="15.75" customHeight="1" hidden="1">
      <c r="A134" s="62"/>
      <c r="B134" s="304"/>
      <c r="C134" s="106"/>
      <c r="D134" s="305"/>
      <c r="E134" s="109"/>
      <c r="F134" s="104"/>
      <c r="G134" s="104"/>
      <c r="H134" s="104"/>
      <c r="I134" s="104"/>
      <c r="J134" s="106"/>
      <c r="K134" s="97"/>
      <c r="L134" s="109"/>
      <c r="M134" s="104"/>
      <c r="N134" s="104"/>
      <c r="O134" s="104"/>
      <c r="P134" s="13"/>
      <c r="Q134" s="107"/>
      <c r="R134" s="91"/>
      <c r="S134" s="100"/>
      <c r="T134" s="109"/>
      <c r="U134" s="13"/>
      <c r="V134" s="13"/>
      <c r="W134" s="13"/>
      <c r="X134" s="13"/>
      <c r="Y134" s="104"/>
      <c r="Z134" s="104"/>
      <c r="AA134" s="104"/>
      <c r="AB134" s="104"/>
      <c r="AC134" s="13"/>
      <c r="AD134" s="13"/>
    </row>
    <row r="135" ht="15.75" customHeight="1" hidden="1">
      <c r="A135" s="62"/>
      <c r="B135" s="304"/>
      <c r="C135" s="106"/>
      <c r="D135" s="305"/>
      <c r="E135" s="109"/>
      <c r="F135" s="104"/>
      <c r="G135" s="104"/>
      <c r="H135" s="104"/>
      <c r="I135" s="104"/>
      <c r="J135" s="106"/>
      <c r="K135" s="97"/>
      <c r="L135" s="109"/>
      <c r="M135" s="104"/>
      <c r="N135" s="104"/>
      <c r="O135" s="104"/>
      <c r="P135" s="13"/>
      <c r="Q135" s="107"/>
      <c r="R135" s="91"/>
      <c r="S135" s="100"/>
      <c r="T135" s="109"/>
      <c r="U135" s="13"/>
      <c r="V135" s="13"/>
      <c r="W135" s="13"/>
      <c r="X135" s="13"/>
      <c r="Y135" s="104"/>
      <c r="Z135" s="104"/>
      <c r="AA135" s="104"/>
      <c r="AB135" s="104"/>
      <c r="AC135" s="13"/>
      <c r="AD135" s="13"/>
    </row>
    <row r="136" ht="15.75" customHeight="1" hidden="1">
      <c r="A136" s="62"/>
      <c r="B136" s="304"/>
      <c r="C136" s="121"/>
      <c r="D136" s="306"/>
      <c r="E136" s="124"/>
      <c r="F136" s="119"/>
      <c r="G136" s="119"/>
      <c r="H136" s="104"/>
      <c r="I136" s="104"/>
      <c r="J136" s="106"/>
      <c r="K136" s="97"/>
      <c r="L136" s="124"/>
      <c r="M136" s="119"/>
      <c r="N136" s="119"/>
      <c r="O136" s="119"/>
      <c r="P136" s="13"/>
      <c r="Q136" s="107"/>
      <c r="R136" s="91"/>
      <c r="S136" s="123"/>
      <c r="T136" s="124"/>
      <c r="U136" s="13"/>
      <c r="V136" s="13"/>
      <c r="W136" s="13"/>
      <c r="X136" s="13"/>
      <c r="Y136" s="119"/>
      <c r="Z136" s="119"/>
      <c r="AA136" s="104"/>
      <c r="AB136" s="104"/>
      <c r="AC136" s="13"/>
      <c r="AD136" s="13"/>
    </row>
    <row r="137" ht="16.5" customHeight="1" hidden="1">
      <c r="A137" s="62"/>
      <c r="B137" t="s" s="307">
        <v>237</v>
      </c>
      <c r="C137" s="145">
        <f>SUM(C131:C135)</f>
        <v>0</v>
      </c>
      <c r="D137" s="145">
        <f>SUM(D131:D135)</f>
        <v>0</v>
      </c>
      <c r="E137" s="308">
        <f>SUM(E133:E135)</f>
        <v>0</v>
      </c>
      <c r="F137" s="145">
        <f>SUM(F133:F135)</f>
        <v>0</v>
      </c>
      <c r="G137" s="145">
        <f>SUM(G131:G135)</f>
        <v>0</v>
      </c>
      <c r="H137" s="104">
        <f>SUM(H131:H135)</f>
        <v>0</v>
      </c>
      <c r="I137" s="104">
        <f>SUM(I131:I135)</f>
        <v>0</v>
      </c>
      <c r="J137" s="106">
        <f>SUM(J131:J135)</f>
        <v>0</v>
      </c>
      <c r="K137" s="97"/>
      <c r="L137" s="150">
        <f>SUM(L133:L135)</f>
        <v>0</v>
      </c>
      <c r="M137" s="145"/>
      <c r="N137" s="145">
        <f>SUM(N133:N136)</f>
        <v>0</v>
      </c>
      <c r="O137" s="145">
        <f>SUM(O133:O136)</f>
        <v>0</v>
      </c>
      <c r="P137" s="13"/>
      <c r="Q137" s="107"/>
      <c r="R137" s="91"/>
      <c r="S137" s="149">
        <f>SUM(S133:S135)</f>
        <v>0</v>
      </c>
      <c r="T137" s="150">
        <f>SUM(T131:T135)</f>
        <v>0</v>
      </c>
      <c r="U137" s="13"/>
      <c r="V137" s="13"/>
      <c r="W137" s="13"/>
      <c r="X137" s="13"/>
      <c r="Y137" s="145">
        <f>SUM(Y133:Y136)</f>
        <v>0</v>
      </c>
      <c r="Z137" s="145">
        <f>SUM(Z133:Z136)</f>
        <v>0</v>
      </c>
      <c r="AA137" s="104"/>
      <c r="AB137" s="104"/>
      <c r="AC137" s="13"/>
      <c r="AD137" s="13"/>
    </row>
    <row r="138" ht="15.75" customHeight="1" hidden="1">
      <c r="A138" s="62"/>
      <c r="B138" s="309"/>
      <c r="C138" s="194"/>
      <c r="D138" s="194"/>
      <c r="E138" s="137"/>
      <c r="F138" s="137"/>
      <c r="G138" s="194"/>
      <c r="H138" s="107"/>
      <c r="I138" s="107"/>
      <c r="J138" s="310"/>
      <c r="K138" s="311"/>
      <c r="L138" s="312"/>
      <c r="M138" s="194"/>
      <c r="N138" s="194"/>
      <c r="O138" s="194"/>
      <c r="P138" s="13"/>
      <c r="Q138" s="107"/>
      <c r="R138" s="13"/>
      <c r="S138" s="313"/>
      <c r="T138" s="194"/>
      <c r="U138" s="13"/>
      <c r="V138" s="13"/>
      <c r="W138" s="13"/>
      <c r="X138" s="13"/>
      <c r="Y138" s="194"/>
      <c r="Z138" s="194"/>
      <c r="AA138" s="107"/>
      <c r="AB138" s="107"/>
      <c r="AC138" s="13"/>
      <c r="AD138" s="13"/>
    </row>
    <row r="139" ht="15.75" customHeight="1" hidden="1">
      <c r="A139" s="62"/>
      <c r="B139" s="314"/>
      <c r="C139" s="107"/>
      <c r="D139" s="107"/>
      <c r="E139" s="315"/>
      <c r="F139" s="315"/>
      <c r="G139" s="107"/>
      <c r="H139" s="107"/>
      <c r="I139" s="107"/>
      <c r="J139" s="310"/>
      <c r="K139" s="311"/>
      <c r="L139" s="196"/>
      <c r="M139" s="107"/>
      <c r="N139" s="107"/>
      <c r="O139" s="107"/>
      <c r="P139" s="13"/>
      <c r="Q139" s="107"/>
      <c r="R139" s="13"/>
      <c r="S139" s="316"/>
      <c r="T139" s="107"/>
      <c r="U139" s="13"/>
      <c r="V139" s="13"/>
      <c r="W139" s="13"/>
      <c r="X139" s="13"/>
      <c r="Y139" s="107"/>
      <c r="Z139" s="107"/>
      <c r="AA139" s="107"/>
      <c r="AB139" s="107"/>
      <c r="AC139" s="13"/>
      <c r="AD139" s="13"/>
    </row>
    <row r="140" ht="15.75" customHeight="1" hidden="1">
      <c r="A140" s="62"/>
      <c r="B140" s="314"/>
      <c r="C140" s="107"/>
      <c r="D140" s="107"/>
      <c r="E140" s="315"/>
      <c r="F140" s="315"/>
      <c r="G140" s="107"/>
      <c r="H140" s="107"/>
      <c r="I140" s="107"/>
      <c r="J140" s="310"/>
      <c r="K140" s="311"/>
      <c r="L140" s="196"/>
      <c r="M140" s="107"/>
      <c r="N140" s="107"/>
      <c r="O140" s="107"/>
      <c r="P140" s="13"/>
      <c r="Q140" s="107"/>
      <c r="R140" s="13"/>
      <c r="S140" s="316"/>
      <c r="T140" s="107"/>
      <c r="U140" s="13"/>
      <c r="V140" s="13"/>
      <c r="W140" s="13"/>
      <c r="X140" s="13"/>
      <c r="Y140" s="107"/>
      <c r="Z140" s="107"/>
      <c r="AA140" s="107"/>
      <c r="AB140" s="107"/>
      <c r="AC140" s="13"/>
      <c r="AD140" s="13"/>
    </row>
    <row r="141" ht="15.75" customHeight="1">
      <c r="A141" s="62"/>
      <c r="B141" s="314"/>
      <c r="C141" s="107"/>
      <c r="D141" s="107"/>
      <c r="E141" s="315"/>
      <c r="F141" s="315"/>
      <c r="G141" s="107"/>
      <c r="H141" s="107"/>
      <c r="I141" s="107"/>
      <c r="J141" s="310"/>
      <c r="K141" s="311"/>
      <c r="L141" s="107"/>
      <c r="M141" s="107"/>
      <c r="N141" s="107"/>
      <c r="O141" s="107"/>
      <c r="P141" s="13"/>
      <c r="Q141" s="107"/>
      <c r="R141" s="13"/>
      <c r="S141" s="316"/>
      <c r="T141" s="107"/>
      <c r="U141" s="13"/>
      <c r="V141" s="13"/>
      <c r="W141" s="13"/>
      <c r="X141" s="13"/>
      <c r="Y141" s="107"/>
      <c r="Z141" s="107"/>
      <c r="AA141" s="107"/>
      <c r="AB141" s="107"/>
      <c r="AC141" s="13"/>
      <c r="AD141" s="13"/>
    </row>
    <row r="142" ht="15.75" customHeight="1">
      <c r="A142" s="13"/>
      <c r="B142" s="314"/>
      <c r="C142" s="107"/>
      <c r="D142" s="107"/>
      <c r="E142" s="315"/>
      <c r="F142" s="315"/>
      <c r="G142" s="107"/>
      <c r="H142" s="107"/>
      <c r="I142" s="107"/>
      <c r="J142" s="310"/>
      <c r="K142" s="311"/>
      <c r="L142" s="107"/>
      <c r="M142" s="107"/>
      <c r="N142" s="107"/>
      <c r="O142" s="107"/>
      <c r="P142" s="13"/>
      <c r="Q142" s="107"/>
      <c r="R142" s="13"/>
      <c r="S142" s="316"/>
      <c r="T142" s="107"/>
      <c r="U142" s="13"/>
      <c r="V142" s="13"/>
      <c r="W142" s="13"/>
      <c r="X142" s="13"/>
      <c r="Y142" s="107"/>
      <c r="Z142" s="107"/>
      <c r="AA142" s="107"/>
      <c r="AB142" s="107"/>
      <c r="AC142" s="13"/>
      <c r="AD142" s="13"/>
    </row>
    <row r="143" ht="15.75" customHeight="1">
      <c r="A143" t="s" s="143">
        <v>238</v>
      </c>
      <c r="B143" s="314"/>
      <c r="C143" s="107"/>
      <c r="D143" s="107"/>
      <c r="E143" s="315"/>
      <c r="F143" s="315"/>
      <c r="G143" s="107"/>
      <c r="H143" s="107"/>
      <c r="I143" s="107"/>
      <c r="J143" s="310"/>
      <c r="K143" s="311"/>
      <c r="L143" s="107"/>
      <c r="M143" s="107"/>
      <c r="N143" s="107"/>
      <c r="O143" s="107"/>
      <c r="P143" s="13"/>
      <c r="Q143" s="107"/>
      <c r="R143" s="13"/>
      <c r="S143" s="316"/>
      <c r="T143" s="107"/>
      <c r="U143" s="13"/>
      <c r="V143" s="13"/>
      <c r="W143" s="13"/>
      <c r="X143" s="13"/>
      <c r="Y143" s="107"/>
      <c r="Z143" s="107"/>
      <c r="AA143" s="107"/>
      <c r="AB143" s="107"/>
      <c r="AC143" s="13"/>
      <c r="AD143" s="13"/>
    </row>
    <row r="144" ht="15.75" customHeight="1">
      <c r="A144" t="s" s="143">
        <v>239</v>
      </c>
      <c r="B144" s="314"/>
      <c r="C144" s="107"/>
      <c r="D144" s="107"/>
      <c r="E144" s="315"/>
      <c r="F144" s="315"/>
      <c r="G144" s="107"/>
      <c r="H144" s="107"/>
      <c r="I144" s="107"/>
      <c r="J144" s="310"/>
      <c r="K144" s="311"/>
      <c r="L144" s="107"/>
      <c r="M144" s="107"/>
      <c r="N144" s="107"/>
      <c r="O144" s="107"/>
      <c r="P144" s="13"/>
      <c r="Q144" s="107"/>
      <c r="R144" s="13"/>
      <c r="S144" s="316"/>
      <c r="T144" s="107"/>
      <c r="U144" s="13"/>
      <c r="V144" s="13"/>
      <c r="W144" s="13"/>
      <c r="X144" s="13"/>
      <c r="Y144" s="107"/>
      <c r="Z144" s="107"/>
      <c r="AA144" s="107"/>
      <c r="AB144" s="107"/>
      <c r="AC144" s="13"/>
      <c r="AD144" s="13"/>
    </row>
    <row r="145" ht="15.75" customHeight="1">
      <c r="A145" t="s" s="143">
        <v>240</v>
      </c>
      <c r="B145" s="314"/>
      <c r="C145" s="107"/>
      <c r="D145" s="107"/>
      <c r="E145" s="315"/>
      <c r="F145" s="315"/>
      <c r="G145" s="107"/>
      <c r="H145" s="107"/>
      <c r="I145" s="107"/>
      <c r="J145" s="310"/>
      <c r="K145" s="311"/>
      <c r="L145" s="107"/>
      <c r="M145" s="107"/>
      <c r="N145" s="107"/>
      <c r="O145" s="107"/>
      <c r="P145" s="13"/>
      <c r="Q145" s="107"/>
      <c r="R145" s="13"/>
      <c r="S145" s="316"/>
      <c r="T145" s="107"/>
      <c r="U145" s="13"/>
      <c r="V145" s="13"/>
      <c r="W145" s="13"/>
      <c r="X145" s="13"/>
      <c r="Y145" s="107"/>
      <c r="Z145" s="107"/>
      <c r="AA145" s="107"/>
      <c r="AB145" s="107"/>
      <c r="AC145" s="13"/>
      <c r="AD145" s="13"/>
    </row>
    <row r="146" ht="15.75" customHeight="1">
      <c r="A146" t="s" s="143">
        <v>241</v>
      </c>
      <c r="B146" s="314"/>
      <c r="C146" s="107"/>
      <c r="D146" s="107"/>
      <c r="E146" s="315"/>
      <c r="F146" s="315"/>
      <c r="G146" s="107"/>
      <c r="H146" s="107"/>
      <c r="I146" s="107"/>
      <c r="J146" s="310"/>
      <c r="K146" s="311"/>
      <c r="L146" s="107"/>
      <c r="M146" s="107"/>
      <c r="N146" s="107"/>
      <c r="O146" s="107"/>
      <c r="P146" s="13"/>
      <c r="Q146" s="107"/>
      <c r="R146" s="13"/>
      <c r="S146" s="316"/>
      <c r="T146" s="107"/>
      <c r="U146" s="13"/>
      <c r="V146" s="13"/>
      <c r="W146" s="13"/>
      <c r="X146" s="13"/>
      <c r="Y146" s="107"/>
      <c r="Z146" s="107"/>
      <c r="AA146" s="107"/>
      <c r="AB146" s="107"/>
      <c r="AC146" s="13"/>
      <c r="AD146" s="13"/>
    </row>
    <row r="147" ht="15.75" customHeight="1">
      <c r="A147" t="s" s="143">
        <v>242</v>
      </c>
      <c r="B147" s="314"/>
      <c r="C147" s="107"/>
      <c r="D147" s="107"/>
      <c r="E147" s="315"/>
      <c r="F147" s="315"/>
      <c r="G147" s="107"/>
      <c r="H147" s="107"/>
      <c r="I147" s="107"/>
      <c r="J147" s="310"/>
      <c r="K147" s="311"/>
      <c r="L147" s="107"/>
      <c r="M147" s="107"/>
      <c r="N147" s="107"/>
      <c r="O147" s="107"/>
      <c r="P147" s="13"/>
      <c r="Q147" s="107"/>
      <c r="R147" s="13"/>
      <c r="S147" s="316"/>
      <c r="T147" s="107"/>
      <c r="U147" s="13"/>
      <c r="V147" s="13"/>
      <c r="W147" s="13"/>
      <c r="X147" s="13"/>
      <c r="Y147" s="107"/>
      <c r="Z147" s="107"/>
      <c r="AA147" s="107"/>
      <c r="AB147" s="107"/>
      <c r="AC147" s="13"/>
      <c r="AD147" s="13"/>
    </row>
    <row r="148" ht="15.75" customHeight="1">
      <c r="A148" t="s" s="143">
        <v>243</v>
      </c>
      <c r="B148" s="314"/>
      <c r="C148" s="107"/>
      <c r="D148" s="107"/>
      <c r="E148" s="315"/>
      <c r="F148" s="315"/>
      <c r="G148" s="107"/>
      <c r="H148" s="107"/>
      <c r="I148" s="107"/>
      <c r="J148" s="310"/>
      <c r="K148" s="311"/>
      <c r="L148" s="107"/>
      <c r="M148" s="107"/>
      <c r="N148" s="107"/>
      <c r="O148" s="107"/>
      <c r="P148" s="13"/>
      <c r="Q148" s="107"/>
      <c r="R148" s="13"/>
      <c r="S148" s="316"/>
      <c r="T148" s="107"/>
      <c r="U148" s="13"/>
      <c r="V148" s="13"/>
      <c r="W148" s="13"/>
      <c r="X148" s="13"/>
      <c r="Y148" s="107"/>
      <c r="Z148" s="107"/>
      <c r="AA148" s="107"/>
      <c r="AB148" s="107"/>
      <c r="AC148" s="13"/>
      <c r="AD148" s="13"/>
    </row>
    <row r="149" ht="15.75" customHeight="1">
      <c r="A149" t="s" s="143">
        <v>244</v>
      </c>
      <c r="B149" s="314"/>
      <c r="C149" s="107"/>
      <c r="D149" s="107"/>
      <c r="E149" s="315"/>
      <c r="F149" s="315"/>
      <c r="G149" s="107"/>
      <c r="H149" s="107"/>
      <c r="I149" s="107"/>
      <c r="J149" s="310"/>
      <c r="K149" s="311"/>
      <c r="L149" s="107"/>
      <c r="M149" s="107"/>
      <c r="N149" s="107"/>
      <c r="O149" s="107"/>
      <c r="P149" s="13"/>
      <c r="Q149" s="107"/>
      <c r="R149" s="13"/>
      <c r="S149" s="316"/>
      <c r="T149" s="107"/>
      <c r="U149" s="13"/>
      <c r="V149" s="13"/>
      <c r="W149" s="13"/>
      <c r="X149" s="13"/>
      <c r="Y149" s="107"/>
      <c r="Z149" s="107"/>
      <c r="AA149" s="107"/>
      <c r="AB149" s="107"/>
      <c r="AC149" s="13"/>
      <c r="AD149" s="13"/>
    </row>
    <row r="150" ht="15.75" customHeight="1">
      <c r="A150" t="s" s="143">
        <v>245</v>
      </c>
      <c r="B150" s="314"/>
      <c r="C150" s="107"/>
      <c r="D150" s="107"/>
      <c r="E150" s="315"/>
      <c r="F150" s="315"/>
      <c r="G150" s="107"/>
      <c r="H150" s="107"/>
      <c r="I150" s="107"/>
      <c r="J150" s="310"/>
      <c r="K150" s="311"/>
      <c r="L150" s="107"/>
      <c r="M150" s="107"/>
      <c r="N150" s="107"/>
      <c r="O150" s="107"/>
      <c r="P150" s="13"/>
      <c r="Q150" s="107"/>
      <c r="R150" s="13"/>
      <c r="S150" s="316"/>
      <c r="T150" s="107"/>
      <c r="U150" s="13"/>
      <c r="V150" s="13"/>
      <c r="W150" s="13"/>
      <c r="X150" s="13"/>
      <c r="Y150" s="107"/>
      <c r="Z150" s="107"/>
      <c r="AA150" s="107"/>
      <c r="AB150" s="107"/>
      <c r="AC150" s="13"/>
      <c r="AD150" s="13"/>
    </row>
    <row r="151" ht="15.75" customHeight="1">
      <c r="A151" t="s" s="143">
        <v>246</v>
      </c>
      <c r="B151" s="314"/>
      <c r="C151" s="107"/>
      <c r="D151" s="107"/>
      <c r="E151" s="315"/>
      <c r="F151" s="315"/>
      <c r="G151" s="107"/>
      <c r="H151" s="107"/>
      <c r="I151" s="107"/>
      <c r="J151" s="310"/>
      <c r="K151" s="311"/>
      <c r="L151" s="107"/>
      <c r="M151" s="107"/>
      <c r="N151" s="107"/>
      <c r="O151" s="107"/>
      <c r="P151" s="13"/>
      <c r="Q151" s="107"/>
      <c r="R151" s="13"/>
      <c r="S151" s="316"/>
      <c r="T151" s="107"/>
      <c r="U151" s="13"/>
      <c r="V151" s="13"/>
      <c r="W151" s="13"/>
      <c r="X151" s="13"/>
      <c r="Y151" s="107"/>
      <c r="Z151" s="107"/>
      <c r="AA151" s="107"/>
      <c r="AB151" s="107"/>
      <c r="AC151" s="13"/>
      <c r="AD151" s="13"/>
    </row>
    <row r="152" ht="15.75" customHeight="1">
      <c r="A152" t="s" s="143">
        <v>247</v>
      </c>
      <c r="B152" s="314"/>
      <c r="C152" s="107"/>
      <c r="D152" s="107"/>
      <c r="E152" s="315"/>
      <c r="F152" s="315"/>
      <c r="G152" s="107"/>
      <c r="H152" s="107"/>
      <c r="I152" s="107"/>
      <c r="J152" s="310"/>
      <c r="K152" s="311"/>
      <c r="L152" s="107"/>
      <c r="M152" s="107"/>
      <c r="N152" s="107"/>
      <c r="O152" s="107"/>
      <c r="P152" s="13"/>
      <c r="Q152" s="107"/>
      <c r="R152" s="13"/>
      <c r="S152" s="316"/>
      <c r="T152" s="107"/>
      <c r="U152" s="13"/>
      <c r="V152" s="13"/>
      <c r="W152" s="13"/>
      <c r="X152" s="13"/>
      <c r="Y152" s="107"/>
      <c r="Z152" s="107"/>
      <c r="AA152" s="107"/>
      <c r="AB152" s="107"/>
      <c r="AC152" s="13"/>
      <c r="AD152" s="13"/>
    </row>
    <row r="153" ht="15.75" customHeight="1">
      <c r="A153" s="62"/>
      <c r="B153" s="314"/>
      <c r="C153" s="107"/>
      <c r="D153" s="107"/>
      <c r="E153" s="315"/>
      <c r="F153" s="315"/>
      <c r="G153" s="107"/>
      <c r="H153" s="107"/>
      <c r="I153" s="107"/>
      <c r="J153" s="310"/>
      <c r="K153" s="311"/>
      <c r="L153" s="107"/>
      <c r="M153" s="107"/>
      <c r="N153" s="107"/>
      <c r="O153" s="107"/>
      <c r="P153" s="13"/>
      <c r="Q153" s="107"/>
      <c r="R153" s="13"/>
      <c r="S153" s="316"/>
      <c r="T153" s="107"/>
      <c r="U153" s="13"/>
      <c r="V153" s="13"/>
      <c r="W153" s="13"/>
      <c r="X153" s="13"/>
      <c r="Y153" s="107"/>
      <c r="Z153" s="107"/>
      <c r="AA153" s="107"/>
      <c r="AB153" s="107"/>
      <c r="AC153" s="13"/>
      <c r="AD153" s="13"/>
    </row>
    <row r="154" ht="15.75" customHeight="1">
      <c r="A154" s="62"/>
      <c r="B154" s="314"/>
      <c r="C154" s="107"/>
      <c r="D154" s="107"/>
      <c r="E154" s="315"/>
      <c r="F154" s="315"/>
      <c r="G154" s="107"/>
      <c r="H154" s="107"/>
      <c r="I154" s="107"/>
      <c r="J154" s="310"/>
      <c r="K154" s="311"/>
      <c r="L154" s="107"/>
      <c r="M154" s="107"/>
      <c r="N154" s="107"/>
      <c r="O154" s="107"/>
      <c r="P154" s="13"/>
      <c r="Q154" s="107"/>
      <c r="R154" s="13"/>
      <c r="S154" s="316"/>
      <c r="T154" s="107"/>
      <c r="U154" s="13"/>
      <c r="V154" s="13"/>
      <c r="W154" s="13"/>
      <c r="X154" s="13"/>
      <c r="Y154" s="107"/>
      <c r="Z154" s="107"/>
      <c r="AA154" s="107"/>
      <c r="AB154" s="107"/>
      <c r="AC154" s="13"/>
      <c r="AD154" s="13"/>
    </row>
    <row r="155" ht="15.75" customHeight="1">
      <c r="A155" s="62"/>
      <c r="B155" s="314"/>
      <c r="C155" s="107"/>
      <c r="D155" s="107"/>
      <c r="E155" s="315"/>
      <c r="F155" s="315"/>
      <c r="G155" s="107"/>
      <c r="H155" s="107"/>
      <c r="I155" s="107"/>
      <c r="J155" s="310"/>
      <c r="K155" s="311"/>
      <c r="L155" s="107"/>
      <c r="M155" s="107"/>
      <c r="N155" s="107"/>
      <c r="O155" s="107"/>
      <c r="P155" s="13"/>
      <c r="Q155" s="107"/>
      <c r="R155" s="13"/>
      <c r="S155" s="316"/>
      <c r="T155" s="107"/>
      <c r="U155" s="13"/>
      <c r="V155" s="13"/>
      <c r="W155" s="13"/>
      <c r="X155" s="13"/>
      <c r="Y155" s="107"/>
      <c r="Z155" s="107"/>
      <c r="AA155" s="107"/>
      <c r="AB155" s="107"/>
      <c r="AC155" s="13"/>
      <c r="AD155" s="13"/>
    </row>
    <row r="156" ht="15.75" customHeight="1">
      <c r="A156" s="62"/>
      <c r="B156" s="314"/>
      <c r="C156" s="107"/>
      <c r="D156" s="107"/>
      <c r="E156" s="315"/>
      <c r="F156" s="315"/>
      <c r="G156" s="107"/>
      <c r="H156" s="107"/>
      <c r="I156" s="107"/>
      <c r="J156" s="310"/>
      <c r="K156" s="311"/>
      <c r="L156" s="107"/>
      <c r="M156" s="107"/>
      <c r="N156" s="107"/>
      <c r="O156" s="107"/>
      <c r="P156" s="13"/>
      <c r="Q156" s="107"/>
      <c r="R156" s="13"/>
      <c r="S156" s="316"/>
      <c r="T156" s="107"/>
      <c r="U156" s="13"/>
      <c r="V156" s="13"/>
      <c r="W156" s="13"/>
      <c r="X156" s="13"/>
      <c r="Y156" s="107"/>
      <c r="Z156" s="107"/>
      <c r="AA156" s="107"/>
      <c r="AB156" s="107"/>
      <c r="AC156" s="13"/>
      <c r="AD156" s="13"/>
    </row>
    <row r="157" ht="15.75" customHeight="1">
      <c r="A157" s="135"/>
      <c r="B157" s="317"/>
      <c r="C157" s="302"/>
      <c r="D157" s="302"/>
      <c r="E157" s="318"/>
      <c r="F157" s="318"/>
      <c r="G157" s="302"/>
      <c r="H157" s="302"/>
      <c r="I157" s="302"/>
      <c r="J157" s="319"/>
      <c r="K157" s="320"/>
      <c r="L157" s="302"/>
      <c r="M157" s="302"/>
      <c r="N157" s="302"/>
      <c r="O157" s="302"/>
      <c r="P157" s="13"/>
      <c r="Q157" s="302"/>
      <c r="R157" s="13"/>
      <c r="S157" s="321"/>
      <c r="T157" s="302"/>
      <c r="U157" s="13"/>
      <c r="V157" s="13"/>
      <c r="W157" s="13"/>
      <c r="X157" s="13"/>
      <c r="Y157" s="302"/>
      <c r="Z157" s="302"/>
      <c r="AA157" s="302"/>
      <c r="AB157" s="302"/>
      <c r="AC157" s="13"/>
      <c r="AD157" s="13"/>
    </row>
    <row r="158" ht="15.75" customHeight="1">
      <c r="A158" s="62"/>
      <c r="B158" s="314"/>
      <c r="C158" s="107"/>
      <c r="D158" s="107"/>
      <c r="E158" s="315"/>
      <c r="F158" s="315"/>
      <c r="G158" s="107"/>
      <c r="H158" s="107"/>
      <c r="I158" s="107"/>
      <c r="J158" s="310"/>
      <c r="K158" s="311"/>
      <c r="L158" s="107"/>
      <c r="M158" s="107"/>
      <c r="N158" s="107"/>
      <c r="O158" s="107"/>
      <c r="P158" s="13"/>
      <c r="Q158" s="107"/>
      <c r="R158" s="13"/>
      <c r="S158" s="316"/>
      <c r="T158" s="107"/>
      <c r="U158" s="13"/>
      <c r="V158" s="13"/>
      <c r="W158" s="13"/>
      <c r="X158" s="13"/>
      <c r="Y158" s="107"/>
      <c r="Z158" s="107"/>
      <c r="AA158" s="107"/>
      <c r="AB158" s="107"/>
      <c r="AC158" s="13"/>
      <c r="AD158" s="13"/>
    </row>
    <row r="159" ht="15.75" customHeight="1">
      <c r="A159" s="135"/>
      <c r="B159" s="314"/>
      <c r="C159" s="107"/>
      <c r="D159" s="107"/>
      <c r="E159" s="315"/>
      <c r="F159" s="315"/>
      <c r="G159" s="107"/>
      <c r="H159" s="107"/>
      <c r="I159" s="107"/>
      <c r="J159" s="310"/>
      <c r="K159" s="311"/>
      <c r="L159" s="107"/>
      <c r="M159" s="107"/>
      <c r="N159" s="107"/>
      <c r="O159" s="107"/>
      <c r="P159" s="13"/>
      <c r="Q159" s="107"/>
      <c r="R159" s="13"/>
      <c r="S159" s="316"/>
      <c r="T159" s="107"/>
      <c r="U159" s="13"/>
      <c r="V159" s="13"/>
      <c r="W159" s="13"/>
      <c r="X159" s="13"/>
      <c r="Y159" s="107"/>
      <c r="Z159" s="107"/>
      <c r="AA159" s="107"/>
      <c r="AB159" s="107"/>
      <c r="AC159" s="13"/>
      <c r="AD159" s="13"/>
    </row>
    <row r="160" ht="15.75" customHeight="1">
      <c r="A160" s="62"/>
      <c r="B160" s="314"/>
      <c r="C160" s="107"/>
      <c r="D160" s="107"/>
      <c r="E160" s="315"/>
      <c r="F160" s="315"/>
      <c r="G160" s="107"/>
      <c r="H160" s="107"/>
      <c r="I160" s="107"/>
      <c r="J160" s="310"/>
      <c r="K160" s="311"/>
      <c r="L160" s="107"/>
      <c r="M160" s="107"/>
      <c r="N160" s="107"/>
      <c r="O160" s="107"/>
      <c r="P160" s="13"/>
      <c r="Q160" s="107"/>
      <c r="R160" s="13"/>
      <c r="S160" s="316"/>
      <c r="T160" s="107"/>
      <c r="U160" s="13"/>
      <c r="V160" s="13"/>
      <c r="W160" s="13"/>
      <c r="X160" s="13"/>
      <c r="Y160" s="107"/>
      <c r="Z160" s="107"/>
      <c r="AA160" s="107"/>
      <c r="AB160" s="107"/>
      <c r="AC160" s="13"/>
      <c r="AD160" s="13"/>
    </row>
    <row r="161" ht="15.75" customHeight="1">
      <c r="A161" s="62"/>
      <c r="B161" s="314"/>
      <c r="C161" s="107"/>
      <c r="D161" s="107"/>
      <c r="E161" s="315"/>
      <c r="F161" s="315"/>
      <c r="G161" s="107"/>
      <c r="H161" s="107"/>
      <c r="I161" s="107"/>
      <c r="J161" s="310"/>
      <c r="K161" s="311"/>
      <c r="L161" s="107"/>
      <c r="M161" s="107"/>
      <c r="N161" s="107"/>
      <c r="O161" s="107"/>
      <c r="P161" s="13"/>
      <c r="Q161" s="107"/>
      <c r="R161" s="13"/>
      <c r="S161" s="316"/>
      <c r="T161" s="107"/>
      <c r="U161" s="13"/>
      <c r="V161" s="13"/>
      <c r="W161" s="13"/>
      <c r="X161" s="13"/>
      <c r="Y161" s="107"/>
      <c r="Z161" s="107"/>
      <c r="AA161" s="107"/>
      <c r="AB161" s="107"/>
      <c r="AC161" s="13"/>
      <c r="AD161" s="13"/>
    </row>
    <row r="162" ht="15.75" customHeight="1">
      <c r="A162" s="62"/>
      <c r="B162" s="314"/>
      <c r="C162" s="107"/>
      <c r="D162" s="107"/>
      <c r="E162" s="315"/>
      <c r="F162" s="315"/>
      <c r="G162" s="107"/>
      <c r="H162" s="107"/>
      <c r="I162" s="107"/>
      <c r="J162" s="310"/>
      <c r="K162" s="311"/>
      <c r="L162" s="107"/>
      <c r="M162" s="107"/>
      <c r="N162" s="107"/>
      <c r="O162" s="107"/>
      <c r="P162" s="13"/>
      <c r="Q162" s="107"/>
      <c r="R162" s="13"/>
      <c r="S162" s="316"/>
      <c r="T162" s="107"/>
      <c r="U162" s="13"/>
      <c r="V162" s="13"/>
      <c r="W162" s="13"/>
      <c r="X162" s="13"/>
      <c r="Y162" s="107"/>
      <c r="Z162" s="107"/>
      <c r="AA162" s="107"/>
      <c r="AB162" s="107"/>
      <c r="AC162" s="13"/>
      <c r="AD162" s="13"/>
    </row>
    <row r="163" ht="15.75" customHeight="1">
      <c r="A163" s="62"/>
      <c r="B163" s="314"/>
      <c r="C163" s="107"/>
      <c r="D163" s="107"/>
      <c r="E163" s="315"/>
      <c r="F163" s="315"/>
      <c r="G163" s="107"/>
      <c r="H163" s="107"/>
      <c r="I163" s="107"/>
      <c r="J163" s="310"/>
      <c r="K163" s="311"/>
      <c r="L163" s="107"/>
      <c r="M163" s="107"/>
      <c r="N163" s="107"/>
      <c r="O163" s="107"/>
      <c r="P163" s="13"/>
      <c r="Q163" s="107"/>
      <c r="R163" s="13"/>
      <c r="S163" s="316"/>
      <c r="T163" s="107"/>
      <c r="U163" s="13"/>
      <c r="V163" s="13"/>
      <c r="W163" s="13"/>
      <c r="X163" s="13"/>
      <c r="Y163" s="107"/>
      <c r="Z163" s="107"/>
      <c r="AA163" s="107"/>
      <c r="AB163" s="107"/>
      <c r="AC163" s="13"/>
      <c r="AD163" s="13"/>
    </row>
    <row r="164" ht="15.75" customHeight="1">
      <c r="A164" s="62"/>
      <c r="B164" s="314"/>
      <c r="C164" s="107"/>
      <c r="D164" s="107"/>
      <c r="E164" s="315"/>
      <c r="F164" s="315"/>
      <c r="G164" s="107"/>
      <c r="H164" s="107"/>
      <c r="I164" s="107"/>
      <c r="J164" s="310"/>
      <c r="K164" s="311"/>
      <c r="L164" s="107"/>
      <c r="M164" s="107"/>
      <c r="N164" s="107"/>
      <c r="O164" s="107"/>
      <c r="P164" s="13"/>
      <c r="Q164" s="107"/>
      <c r="R164" s="13"/>
      <c r="S164" s="316"/>
      <c r="T164" s="107"/>
      <c r="U164" s="13"/>
      <c r="V164" s="13"/>
      <c r="W164" s="13"/>
      <c r="X164" s="13"/>
      <c r="Y164" s="107"/>
      <c r="Z164" s="107"/>
      <c r="AA164" s="107"/>
      <c r="AB164" s="107"/>
      <c r="AC164" s="13"/>
      <c r="AD164" s="13"/>
    </row>
    <row r="165" ht="15.75" customHeight="1">
      <c r="A165" s="62"/>
      <c r="B165" s="314"/>
      <c r="C165" s="107"/>
      <c r="D165" s="107"/>
      <c r="E165" s="315"/>
      <c r="F165" s="315"/>
      <c r="G165" s="107"/>
      <c r="H165" s="107"/>
      <c r="I165" s="107"/>
      <c r="J165" s="310"/>
      <c r="K165" s="311"/>
      <c r="L165" s="107"/>
      <c r="M165" s="107"/>
      <c r="N165" s="107"/>
      <c r="O165" s="107"/>
      <c r="P165" s="13"/>
      <c r="Q165" s="107"/>
      <c r="R165" s="13"/>
      <c r="S165" s="316"/>
      <c r="T165" s="107"/>
      <c r="U165" s="13"/>
      <c r="V165" s="13"/>
      <c r="W165" s="13"/>
      <c r="X165" s="13"/>
      <c r="Y165" s="107"/>
      <c r="Z165" s="107"/>
      <c r="AA165" s="107"/>
      <c r="AB165" s="107"/>
      <c r="AC165" s="13"/>
      <c r="AD165" s="13"/>
    </row>
    <row r="166" ht="15.75" customHeight="1">
      <c r="A166" s="62"/>
      <c r="B166" s="314"/>
      <c r="C166" s="107"/>
      <c r="D166" s="107"/>
      <c r="E166" s="315"/>
      <c r="F166" s="315"/>
      <c r="G166" s="107"/>
      <c r="H166" s="107"/>
      <c r="I166" s="107"/>
      <c r="J166" s="310"/>
      <c r="K166" s="311"/>
      <c r="L166" s="107"/>
      <c r="M166" s="107"/>
      <c r="N166" s="107"/>
      <c r="O166" s="107"/>
      <c r="P166" s="13"/>
      <c r="Q166" s="107"/>
      <c r="R166" s="13"/>
      <c r="S166" s="316"/>
      <c r="T166" s="107"/>
      <c r="U166" s="13"/>
      <c r="V166" s="13"/>
      <c r="W166" s="13"/>
      <c r="X166" s="13"/>
      <c r="Y166" s="107"/>
      <c r="Z166" s="107"/>
      <c r="AA166" s="107"/>
      <c r="AB166" s="107"/>
      <c r="AC166" s="13"/>
      <c r="AD166" s="13"/>
    </row>
    <row r="167" ht="15.75" customHeight="1">
      <c r="A167" s="62"/>
      <c r="B167" s="314"/>
      <c r="C167" s="107"/>
      <c r="D167" s="107"/>
      <c r="E167" s="315"/>
      <c r="F167" s="315"/>
      <c r="G167" s="107"/>
      <c r="H167" s="107"/>
      <c r="I167" s="107"/>
      <c r="J167" s="310"/>
      <c r="K167" s="311"/>
      <c r="L167" s="107"/>
      <c r="M167" s="107"/>
      <c r="N167" s="107"/>
      <c r="O167" s="107"/>
      <c r="P167" s="13"/>
      <c r="Q167" s="107"/>
      <c r="R167" s="13"/>
      <c r="S167" s="316"/>
      <c r="T167" s="107"/>
      <c r="U167" s="13"/>
      <c r="V167" s="13"/>
      <c r="W167" s="13"/>
      <c r="X167" s="13"/>
      <c r="Y167" s="107"/>
      <c r="Z167" s="107"/>
      <c r="AA167" s="107"/>
      <c r="AB167" s="107"/>
      <c r="AC167" s="13"/>
      <c r="AD167" s="13"/>
    </row>
    <row r="168" ht="15.75" customHeight="1">
      <c r="A168" s="62"/>
      <c r="B168" s="314"/>
      <c r="C168" s="107"/>
      <c r="D168" s="107"/>
      <c r="E168" s="315"/>
      <c r="F168" s="315"/>
      <c r="G168" s="107"/>
      <c r="H168" s="107"/>
      <c r="I168" s="107"/>
      <c r="J168" s="310"/>
      <c r="K168" s="311"/>
      <c r="L168" s="107"/>
      <c r="M168" s="107"/>
      <c r="N168" s="107"/>
      <c r="O168" s="107"/>
      <c r="P168" s="13"/>
      <c r="Q168" s="107"/>
      <c r="R168" s="13"/>
      <c r="S168" s="316"/>
      <c r="T168" s="107"/>
      <c r="U168" s="13"/>
      <c r="V168" s="13"/>
      <c r="W168" s="13"/>
      <c r="X168" s="13"/>
      <c r="Y168" s="107"/>
      <c r="Z168" s="107"/>
      <c r="AA168" s="107"/>
      <c r="AB168" s="107"/>
      <c r="AC168" s="13"/>
      <c r="AD168" s="13"/>
    </row>
    <row r="169" ht="15.75" customHeight="1">
      <c r="A169" s="62"/>
      <c r="B169" s="314"/>
      <c r="C169" s="107"/>
      <c r="D169" s="107"/>
      <c r="E169" s="315"/>
      <c r="F169" s="315"/>
      <c r="G169" s="107"/>
      <c r="H169" s="107"/>
      <c r="I169" s="107"/>
      <c r="J169" s="310"/>
      <c r="K169" s="311"/>
      <c r="L169" s="107"/>
      <c r="M169" s="107"/>
      <c r="N169" s="107"/>
      <c r="O169" s="107"/>
      <c r="P169" s="13"/>
      <c r="Q169" s="107"/>
      <c r="R169" s="13"/>
      <c r="S169" s="316"/>
      <c r="T169" s="107"/>
      <c r="U169" s="13"/>
      <c r="V169" s="13"/>
      <c r="W169" s="13"/>
      <c r="X169" s="13"/>
      <c r="Y169" s="107"/>
      <c r="Z169" s="107"/>
      <c r="AA169" s="107"/>
      <c r="AB169" s="107"/>
      <c r="AC169" s="13"/>
      <c r="AD169" s="13"/>
    </row>
    <row r="170" ht="15.75" customHeight="1">
      <c r="A170" s="62"/>
      <c r="B170" s="314"/>
      <c r="C170" s="107"/>
      <c r="D170" s="107"/>
      <c r="E170" s="315"/>
      <c r="F170" s="315"/>
      <c r="G170" s="107"/>
      <c r="H170" s="107"/>
      <c r="I170" s="107"/>
      <c r="J170" s="310"/>
      <c r="K170" s="311"/>
      <c r="L170" s="107"/>
      <c r="M170" s="107"/>
      <c r="N170" s="107"/>
      <c r="O170" s="107"/>
      <c r="P170" s="13"/>
      <c r="Q170" s="107"/>
      <c r="R170" s="13"/>
      <c r="S170" s="316"/>
      <c r="T170" s="107"/>
      <c r="U170" s="13"/>
      <c r="V170" s="13"/>
      <c r="W170" s="13"/>
      <c r="X170" s="13"/>
      <c r="Y170" s="107"/>
      <c r="Z170" s="107"/>
      <c r="AA170" s="107"/>
      <c r="AB170" s="107"/>
      <c r="AC170" s="13"/>
      <c r="AD170" s="13"/>
    </row>
    <row r="171" ht="15.75" customHeight="1">
      <c r="A171" s="135"/>
      <c r="B171" s="317"/>
      <c r="C171" s="302"/>
      <c r="D171" s="302"/>
      <c r="E171" s="318"/>
      <c r="F171" s="318"/>
      <c r="G171" s="302"/>
      <c r="H171" s="302"/>
      <c r="I171" s="302"/>
      <c r="J171" s="319"/>
      <c r="K171" s="320"/>
      <c r="L171" s="302"/>
      <c r="M171" s="302"/>
      <c r="N171" s="302"/>
      <c r="O171" s="302"/>
      <c r="P171" s="13"/>
      <c r="Q171" s="302"/>
      <c r="R171" s="13"/>
      <c r="S171" s="321"/>
      <c r="T171" s="302"/>
      <c r="U171" s="13"/>
      <c r="V171" s="13"/>
      <c r="W171" s="13"/>
      <c r="X171" s="13"/>
      <c r="Y171" s="302"/>
      <c r="Z171" s="302"/>
      <c r="AA171" s="302"/>
      <c r="AB171" s="302"/>
      <c r="AC171" s="13"/>
      <c r="AD171" s="13"/>
    </row>
    <row r="172" ht="15" customHeight="1">
      <c r="A172" s="13"/>
      <c r="B172" s="107"/>
      <c r="C172" s="107"/>
      <c r="D172" s="107"/>
      <c r="E172" s="315"/>
      <c r="F172" s="315"/>
      <c r="G172" s="107"/>
      <c r="H172" s="107"/>
      <c r="I172" s="107"/>
      <c r="J172" s="310"/>
      <c r="K172" s="311"/>
      <c r="L172" s="107"/>
      <c r="M172" s="107"/>
      <c r="N172" s="107"/>
      <c r="O172" s="107"/>
      <c r="P172" s="13"/>
      <c r="Q172" s="107"/>
      <c r="R172" s="13"/>
      <c r="S172" s="316"/>
      <c r="T172" s="107"/>
      <c r="U172" s="13"/>
      <c r="V172" s="13"/>
      <c r="W172" s="13"/>
      <c r="X172" s="13"/>
      <c r="Y172" s="107"/>
      <c r="Z172" s="107"/>
      <c r="AA172" s="107"/>
      <c r="AB172" s="107"/>
      <c r="AC172" s="13"/>
      <c r="AD172" s="13"/>
    </row>
    <row r="173" ht="15" customHeight="1">
      <c r="A173" s="13"/>
      <c r="B173" s="13"/>
      <c r="C173" s="107"/>
      <c r="D173" s="107"/>
      <c r="E173" s="315"/>
      <c r="F173" s="315"/>
      <c r="G173" s="13"/>
      <c r="H173" s="107"/>
      <c r="I173" s="107"/>
      <c r="J173" s="310"/>
      <c r="K173" s="311"/>
      <c r="L173" s="107"/>
      <c r="M173" s="107"/>
      <c r="N173" s="107"/>
      <c r="O173" s="107"/>
      <c r="P173" s="13"/>
      <c r="Q173" s="13"/>
      <c r="R173" s="13"/>
      <c r="S173" s="316"/>
      <c r="T173" s="107"/>
      <c r="U173" s="13"/>
      <c r="V173" s="13"/>
      <c r="W173" s="13"/>
      <c r="X173" s="13"/>
      <c r="Y173" s="107"/>
      <c r="Z173" s="107"/>
      <c r="AA173" s="107"/>
      <c r="AB173" s="107"/>
      <c r="AC173" s="13"/>
      <c r="AD173" s="13"/>
    </row>
    <row r="174" ht="15" customHeight="1">
      <c r="A174" s="13"/>
      <c r="B174" s="13"/>
      <c r="C174" s="107"/>
      <c r="D174" s="107"/>
      <c r="E174" s="315"/>
      <c r="F174" s="315"/>
      <c r="G174" s="13"/>
      <c r="H174" s="107"/>
      <c r="I174" s="107"/>
      <c r="J174" s="310"/>
      <c r="K174" s="311"/>
      <c r="L174" s="107"/>
      <c r="M174" s="107"/>
      <c r="N174" s="107"/>
      <c r="O174" s="107"/>
      <c r="P174" s="13"/>
      <c r="Q174" s="13"/>
      <c r="R174" s="13"/>
      <c r="S174" s="316"/>
      <c r="T174" s="107"/>
      <c r="U174" s="13"/>
      <c r="V174" s="13"/>
      <c r="W174" s="13"/>
      <c r="X174" s="13"/>
      <c r="Y174" s="107"/>
      <c r="Z174" s="107"/>
      <c r="AA174" s="107"/>
      <c r="AB174" s="107"/>
      <c r="AC174" s="13"/>
      <c r="AD174" s="13"/>
    </row>
    <row r="175" ht="15" customHeight="1">
      <c r="A175" s="13"/>
      <c r="B175" s="13"/>
      <c r="C175" s="107"/>
      <c r="D175" s="107"/>
      <c r="E175" s="315"/>
      <c r="F175" s="315"/>
      <c r="G175" s="13"/>
      <c r="H175" s="107"/>
      <c r="I175" s="107"/>
      <c r="J175" s="310"/>
      <c r="K175" s="311"/>
      <c r="L175" s="107"/>
      <c r="M175" s="107"/>
      <c r="N175" s="107"/>
      <c r="O175" s="107"/>
      <c r="P175" s="13"/>
      <c r="Q175" s="13"/>
      <c r="R175" s="13"/>
      <c r="S175" s="316"/>
      <c r="T175" s="107"/>
      <c r="U175" s="13"/>
      <c r="V175" s="13"/>
      <c r="W175" s="13"/>
      <c r="X175" s="13"/>
      <c r="Y175" s="107"/>
      <c r="Z175" s="107"/>
      <c r="AA175" s="107"/>
      <c r="AB175" s="107"/>
      <c r="AC175" s="13"/>
      <c r="AD175" s="13"/>
    </row>
    <row r="176" ht="15" customHeight="1">
      <c r="A176" s="13"/>
      <c r="B176" s="13"/>
      <c r="C176" s="107"/>
      <c r="D176" s="107"/>
      <c r="E176" s="315"/>
      <c r="F176" s="315"/>
      <c r="G176" s="13"/>
      <c r="H176" s="107"/>
      <c r="I176" s="107"/>
      <c r="J176" s="310"/>
      <c r="K176" s="311"/>
      <c r="L176" s="107"/>
      <c r="M176" s="107"/>
      <c r="N176" s="107"/>
      <c r="O176" s="107"/>
      <c r="P176" s="13"/>
      <c r="Q176" s="13"/>
      <c r="R176" s="13"/>
      <c r="S176" s="316"/>
      <c r="T176" s="107"/>
      <c r="U176" s="13"/>
      <c r="V176" s="13"/>
      <c r="W176" s="13"/>
      <c r="X176" s="13"/>
      <c r="Y176" s="107"/>
      <c r="Z176" s="107"/>
      <c r="AA176" s="107"/>
      <c r="AB176" s="107"/>
      <c r="AC176" s="13"/>
      <c r="AD176" s="13"/>
    </row>
    <row r="177" ht="15" customHeight="1">
      <c r="A177" s="13"/>
      <c r="B177" s="13"/>
      <c r="C177" s="107"/>
      <c r="D177" s="107"/>
      <c r="E177" s="322"/>
      <c r="F177" s="322"/>
      <c r="G177" s="13"/>
      <c r="H177" s="107"/>
      <c r="I177" s="107"/>
      <c r="J177" s="310"/>
      <c r="K177" s="311"/>
      <c r="L177" s="107"/>
      <c r="M177" s="107"/>
      <c r="N177" s="107"/>
      <c r="O177" s="107"/>
      <c r="P177" s="13"/>
      <c r="Q177" s="13"/>
      <c r="R177" s="13"/>
      <c r="S177" s="66"/>
      <c r="T177" s="107"/>
      <c r="U177" s="13"/>
      <c r="V177" s="13"/>
      <c r="W177" s="13"/>
      <c r="X177" s="13"/>
      <c r="Y177" s="107"/>
      <c r="Z177" s="107"/>
      <c r="AA177" s="107"/>
      <c r="AB177" s="107"/>
      <c r="AC177" s="13"/>
      <c r="AD177" s="13"/>
    </row>
    <row r="178" ht="15" customHeight="1">
      <c r="A178" s="13"/>
      <c r="B178" s="13"/>
      <c r="C178" s="107"/>
      <c r="D178" s="107"/>
      <c r="E178" s="322"/>
      <c r="F178" s="322"/>
      <c r="G178" s="13"/>
      <c r="H178" s="107"/>
      <c r="I178" s="107"/>
      <c r="J178" s="310"/>
      <c r="K178" s="311"/>
      <c r="L178" s="107"/>
      <c r="M178" s="107"/>
      <c r="N178" s="107"/>
      <c r="O178" s="107"/>
      <c r="P178" s="13"/>
      <c r="Q178" s="13"/>
      <c r="R178" s="13"/>
      <c r="S178" s="66"/>
      <c r="T178" s="107"/>
      <c r="U178" s="13"/>
      <c r="V178" s="13"/>
      <c r="W178" s="13"/>
      <c r="X178" s="13"/>
      <c r="Y178" s="107"/>
      <c r="Z178" s="107"/>
      <c r="AA178" s="107"/>
      <c r="AB178" s="107"/>
      <c r="AC178" s="13"/>
      <c r="AD178" s="13"/>
    </row>
    <row r="179" ht="15" customHeight="1">
      <c r="A179" s="13"/>
      <c r="B179" s="13"/>
      <c r="C179" s="107"/>
      <c r="D179" s="107"/>
      <c r="E179" s="107"/>
      <c r="F179" s="107"/>
      <c r="G179" s="13"/>
      <c r="H179" s="107"/>
      <c r="I179" s="107"/>
      <c r="J179" s="310"/>
      <c r="K179" s="311"/>
      <c r="L179" s="107"/>
      <c r="M179" s="107"/>
      <c r="N179" s="107"/>
      <c r="O179" s="107"/>
      <c r="P179" s="13"/>
      <c r="Q179" s="13"/>
      <c r="R179" s="13"/>
      <c r="S179" s="66"/>
      <c r="T179" s="107"/>
      <c r="U179" s="13"/>
      <c r="V179" s="13"/>
      <c r="W179" s="13"/>
      <c r="X179" s="13"/>
      <c r="Y179" s="107"/>
      <c r="Z179" s="107"/>
      <c r="AA179" s="107"/>
      <c r="AB179" s="107"/>
      <c r="AC179" s="13"/>
      <c r="AD179" s="13"/>
    </row>
    <row r="180" ht="15" customHeight="1">
      <c r="A180" s="13"/>
      <c r="B180" s="13"/>
      <c r="C180" s="107"/>
      <c r="D180" s="107"/>
      <c r="E180" s="107"/>
      <c r="F180" s="107"/>
      <c r="G180" s="13"/>
      <c r="H180" s="107"/>
      <c r="I180" s="107"/>
      <c r="J180" s="310"/>
      <c r="K180" s="311"/>
      <c r="L180" s="107"/>
      <c r="M180" s="107"/>
      <c r="N180" s="107"/>
      <c r="O180" s="107"/>
      <c r="P180" s="13"/>
      <c r="Q180" s="13"/>
      <c r="R180" s="13"/>
      <c r="S180" s="66"/>
      <c r="T180" s="107"/>
      <c r="U180" s="13"/>
      <c r="V180" s="13"/>
      <c r="W180" s="13"/>
      <c r="X180" s="13"/>
      <c r="Y180" s="107"/>
      <c r="Z180" s="107"/>
      <c r="AA180" s="107"/>
      <c r="AB180" s="107"/>
      <c r="AC180" s="13"/>
      <c r="AD180" s="13"/>
    </row>
    <row r="181" ht="15" customHeight="1">
      <c r="A181" s="13"/>
      <c r="B181" s="13"/>
      <c r="C181" s="302"/>
      <c r="D181" s="302"/>
      <c r="E181" s="302"/>
      <c r="F181" s="302"/>
      <c r="G181" s="13"/>
      <c r="H181" s="302"/>
      <c r="I181" s="302"/>
      <c r="J181" s="319"/>
      <c r="K181" s="320"/>
      <c r="L181" s="302"/>
      <c r="M181" s="302"/>
      <c r="N181" s="302"/>
      <c r="O181" s="302"/>
      <c r="P181" s="13"/>
      <c r="Q181" s="13"/>
      <c r="R181" s="13"/>
      <c r="S181" s="66"/>
      <c r="T181" s="302"/>
      <c r="U181" s="13"/>
      <c r="V181" s="13"/>
      <c r="W181" s="13"/>
      <c r="X181" s="13"/>
      <c r="Y181" s="302"/>
      <c r="Z181" s="302"/>
      <c r="AA181" s="302"/>
      <c r="AB181" s="302"/>
      <c r="AC181" s="13"/>
      <c r="AD181" s="13"/>
    </row>
    <row r="182" ht="15" customHeight="1">
      <c r="A182" s="13"/>
      <c r="B182" s="13"/>
      <c r="C182" s="302"/>
      <c r="D182" s="302"/>
      <c r="E182" s="302"/>
      <c r="F182" s="302"/>
      <c r="G182" s="13"/>
      <c r="H182" s="302"/>
      <c r="I182" s="302"/>
      <c r="J182" s="319"/>
      <c r="K182" s="323"/>
      <c r="L182" s="302"/>
      <c r="M182" s="302"/>
      <c r="N182" s="302"/>
      <c r="O182" s="302"/>
      <c r="P182" s="13"/>
      <c r="Q182" s="13"/>
      <c r="R182" s="13"/>
      <c r="S182" s="66"/>
      <c r="T182" s="302"/>
      <c r="U182" s="13"/>
      <c r="V182" s="13"/>
      <c r="W182" s="13"/>
      <c r="X182" s="13"/>
      <c r="Y182" s="302"/>
      <c r="Z182" s="302"/>
      <c r="AA182" s="302"/>
      <c r="AB182" s="302"/>
      <c r="AC182" s="13"/>
      <c r="AD182" s="13"/>
    </row>
  </sheetData>
  <mergeCells count="2">
    <mergeCell ref="A8:B8"/>
    <mergeCell ref="E4:F4"/>
  </mergeCells>
  <pageMargins left="0" right="0" top="0" bottom="0.25" header="0" footer="0"/>
  <pageSetup firstPageNumber="1" fitToHeight="1" fitToWidth="1" scale="62" useFirstPageNumber="0" orientation="portrait" pageOrder="downThenOver"/>
  <headerFooter>
    <oddFooter>&amp;C&amp;"Helvetica,Regular"&amp;12&amp;K000000&amp;P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